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na­­\Desktop\trabajos centro andino\"/>
    </mc:Choice>
  </mc:AlternateContent>
  <xr:revisionPtr revIDLastSave="0" documentId="8_{0D6CC89F-AE95-4B8B-998A-AAC421C6CF78}" xr6:coauthVersionLast="45" xr6:coauthVersionMax="45" xr10:uidLastSave="{00000000-0000-0000-0000-000000000000}"/>
  <bookViews>
    <workbookView xWindow="-108" yWindow="-108" windowWidth="15576" windowHeight="9432" firstSheet="2" activeTab="2" xr2:uid="{21B39561-1768-482E-A58A-E7FCDF018DED}"/>
  </bookViews>
  <sheets>
    <sheet name="FACTURA DE COMPRA" sheetId="1" r:id="rId1"/>
    <sheet name="FACTURA DE VENTA" sheetId="2" r:id="rId2"/>
    <sheet name="C. INGRESO" sheetId="3" r:id="rId3"/>
    <sheet name="C. EGRESO" sheetId="4" r:id="rId4"/>
    <sheet name="RECIBO CAJA" sheetId="5" r:id="rId5"/>
    <sheet name="REC CAJA MENOR" sheetId="6" r:id="rId6"/>
    <sheet name="CHEQUE" sheetId="7" r:id="rId7"/>
    <sheet name="LETRA" sheetId="8" r:id="rId8"/>
    <sheet name="RECIBO PAGO" sheetId="9" r:id="rId9"/>
    <sheet name="VOUCHER" sheetId="11" r:id="rId10"/>
  </sheets>
  <definedNames>
    <definedName name="C.EGRESO">'C. EGRESO'!$AA$1:$AX$33</definedName>
    <definedName name="C.INGRESO">'C. INGRESO'!$AA$1:$AX$32</definedName>
    <definedName name="CAJA">'RECIBO CAJA'!$AA$1:$AX$51</definedName>
    <definedName name="CHEQUE">CHEQUE!$M$2:$AA$21</definedName>
    <definedName name="CHEQUE.">CHEQUE!$AA$1:$AO$32</definedName>
    <definedName name="COMPRA">'FACTURA DE COMPRA'!$M$3:$AR$50</definedName>
    <definedName name="COMPRA.">'FACTURA DE COMPRA'!$AA$1:$BF$33</definedName>
    <definedName name="EGRESO">'C. EGRESO'!$O$5:$AL$50</definedName>
    <definedName name="FACTURA">'FACTURA DE VENTA'!$M$18:$AR$70</definedName>
    <definedName name="INGRESO">'C. INGRESO'!$N$10:$AK$50</definedName>
    <definedName name="LETRA">LETRA!$AA$3:$AS$50</definedName>
    <definedName name="LETRA.">LETRA!$AA$1:$AS$33</definedName>
    <definedName name="MENOR">'REC CAJA MENOR'!$AA$1:$AS$51</definedName>
    <definedName name="OIUYY">#REF!</definedName>
    <definedName name="PAGO">'RECIBO PAGO'!$AA$8:$AP$50</definedName>
    <definedName name="PAGO.">'RECIBO PAGO'!$AA$1:$AP$33</definedName>
    <definedName name="VENTA">'FACTURA DE VENTA'!$AA$1:$BF$33</definedName>
    <definedName name="VOUCH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" i="2" l="1"/>
  <c r="BE4" i="2"/>
  <c r="BD4" i="2"/>
  <c r="BC4" i="2"/>
  <c r="BB4" i="2"/>
  <c r="AU14" i="2"/>
  <c r="AU15" i="2"/>
  <c r="AU16" i="2"/>
  <c r="AU9" i="2"/>
  <c r="AU10" i="2"/>
  <c r="AU11" i="2"/>
  <c r="AU12" i="2"/>
  <c r="AU13" i="2"/>
  <c r="AU4" i="2"/>
  <c r="AU5" i="2"/>
  <c r="AU6" i="2"/>
  <c r="AU7" i="2"/>
  <c r="AU8" i="2"/>
  <c r="AP4" i="2"/>
  <c r="BB17" i="1" l="1"/>
  <c r="BC17" i="1"/>
  <c r="BF17" i="1" s="1"/>
  <c r="BD17" i="1"/>
  <c r="BE17" i="1"/>
  <c r="BB18" i="1"/>
  <c r="BE18" i="1" s="1"/>
  <c r="BC18" i="1"/>
  <c r="BD18" i="1"/>
  <c r="BB19" i="1"/>
  <c r="BC19" i="1" s="1"/>
  <c r="BE19" i="1"/>
  <c r="BB14" i="1"/>
  <c r="BC14" i="1" s="1"/>
  <c r="BF14" i="1" s="1"/>
  <c r="BD14" i="1"/>
  <c r="BE14" i="1"/>
  <c r="BB15" i="1"/>
  <c r="BE15" i="1" s="1"/>
  <c r="BC15" i="1"/>
  <c r="BD15" i="1"/>
  <c r="BB16" i="1"/>
  <c r="BC16" i="1" s="1"/>
  <c r="BF16" i="1" s="1"/>
  <c r="BD16" i="1"/>
  <c r="BE16" i="1"/>
  <c r="BB9" i="1"/>
  <c r="BC9" i="1" s="1"/>
  <c r="BB10" i="1"/>
  <c r="BE10" i="1" s="1"/>
  <c r="BC10" i="1"/>
  <c r="BD10" i="1"/>
  <c r="BB11" i="1"/>
  <c r="BC11" i="1" s="1"/>
  <c r="BF11" i="1" s="1"/>
  <c r="BD11" i="1"/>
  <c r="BE11" i="1"/>
  <c r="BB12" i="1"/>
  <c r="BC12" i="1" s="1"/>
  <c r="BB13" i="1"/>
  <c r="BF13" i="1" s="1"/>
  <c r="BC13" i="1"/>
  <c r="BD13" i="1"/>
  <c r="BE13" i="1"/>
  <c r="BB5" i="1"/>
  <c r="BC5" i="1" s="1"/>
  <c r="BD5" i="1"/>
  <c r="BB6" i="1"/>
  <c r="BE6" i="1" s="1"/>
  <c r="BD6" i="1"/>
  <c r="BB7" i="1"/>
  <c r="BC7" i="1" s="1"/>
  <c r="BE7" i="1"/>
  <c r="BB8" i="1"/>
  <c r="BC8" i="1" s="1"/>
  <c r="BF4" i="1"/>
  <c r="BE4" i="1"/>
  <c r="BD4" i="1"/>
  <c r="BC4" i="1"/>
  <c r="BB4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5" i="1"/>
  <c r="AZ4" i="1"/>
  <c r="AU12" i="1"/>
  <c r="AU13" i="1"/>
  <c r="AU14" i="1"/>
  <c r="AU15" i="1"/>
  <c r="AU16" i="1"/>
  <c r="AU17" i="1"/>
  <c r="AU6" i="1"/>
  <c r="AU7" i="1"/>
  <c r="AU8" i="1"/>
  <c r="AU9" i="1"/>
  <c r="AU10" i="1"/>
  <c r="AU11" i="1"/>
  <c r="AU5" i="1"/>
  <c r="AU4" i="1"/>
  <c r="AP7" i="1"/>
  <c r="AP8" i="1"/>
  <c r="AP9" i="1"/>
  <c r="AP10" i="1"/>
  <c r="AP11" i="1"/>
  <c r="AP12" i="1"/>
  <c r="AP13" i="1"/>
  <c r="AP14" i="1"/>
  <c r="AP15" i="1"/>
  <c r="AP16" i="1"/>
  <c r="AP6" i="1"/>
  <c r="AP5" i="1"/>
  <c r="AP4" i="1"/>
  <c r="F17" i="9"/>
  <c r="E17" i="9"/>
  <c r="C17" i="9"/>
  <c r="B17" i="9"/>
  <c r="C15" i="9"/>
  <c r="C14" i="9"/>
  <c r="C13" i="9"/>
  <c r="C12" i="9"/>
  <c r="C11" i="9"/>
  <c r="H10" i="9"/>
  <c r="C10" i="9"/>
  <c r="H9" i="9"/>
  <c r="H8" i="9"/>
  <c r="C9" i="9"/>
  <c r="C8" i="9"/>
  <c r="N10" i="8"/>
  <c r="L9" i="8"/>
  <c r="L8" i="8"/>
  <c r="M7" i="8"/>
  <c r="O6" i="8"/>
  <c r="M6" i="8"/>
  <c r="K6" i="8"/>
  <c r="L5" i="8"/>
  <c r="O3" i="8"/>
  <c r="I3" i="8"/>
  <c r="H4" i="8"/>
  <c r="H7" i="8"/>
  <c r="G4" i="8"/>
  <c r="F4" i="8"/>
  <c r="E4" i="8"/>
  <c r="E7" i="8"/>
  <c r="D4" i="8"/>
  <c r="C4" i="8"/>
  <c r="G18" i="7"/>
  <c r="D13" i="7"/>
  <c r="D11" i="7"/>
  <c r="F6" i="7"/>
  <c r="I4" i="7"/>
  <c r="C17" i="7"/>
  <c r="C16" i="7"/>
  <c r="C15" i="7"/>
  <c r="C14" i="7"/>
  <c r="C13" i="7"/>
  <c r="B12" i="7"/>
  <c r="B10" i="7"/>
  <c r="C8" i="7"/>
  <c r="C5" i="7"/>
  <c r="AJ3" i="7"/>
  <c r="AH3" i="7"/>
  <c r="I10" i="3"/>
  <c r="AR3" i="4"/>
  <c r="AM3" i="4"/>
  <c r="D28" i="4"/>
  <c r="D27" i="4"/>
  <c r="D26" i="4"/>
  <c r="D25" i="4"/>
  <c r="G24" i="4"/>
  <c r="D24" i="4"/>
  <c r="K23" i="4"/>
  <c r="K17" i="4"/>
  <c r="J17" i="4"/>
  <c r="D17" i="4"/>
  <c r="C17" i="4"/>
  <c r="J23" i="4"/>
  <c r="K16" i="4"/>
  <c r="J16" i="4"/>
  <c r="D16" i="4"/>
  <c r="C16" i="4"/>
  <c r="D13" i="4"/>
  <c r="D12" i="4"/>
  <c r="D11" i="4"/>
  <c r="J10" i="4"/>
  <c r="D10" i="4"/>
  <c r="I9" i="4"/>
  <c r="D9" i="4"/>
  <c r="D29" i="3"/>
  <c r="D28" i="3"/>
  <c r="D27" i="3"/>
  <c r="D26" i="3"/>
  <c r="G25" i="3"/>
  <c r="D25" i="3"/>
  <c r="K24" i="3"/>
  <c r="K18" i="3"/>
  <c r="J18" i="3"/>
  <c r="D18" i="3"/>
  <c r="C18" i="3"/>
  <c r="J24" i="3"/>
  <c r="K17" i="3"/>
  <c r="D17" i="3"/>
  <c r="J17" i="3"/>
  <c r="C17" i="3"/>
  <c r="D14" i="3"/>
  <c r="E13" i="3"/>
  <c r="D12" i="3"/>
  <c r="J11" i="3"/>
  <c r="D11" i="3"/>
  <c r="D10" i="3"/>
  <c r="AR3" i="3"/>
  <c r="AM3" i="3"/>
  <c r="BF3" i="2"/>
  <c r="BE3" i="2"/>
  <c r="BD3" i="2"/>
  <c r="BC3" i="2"/>
  <c r="BB3" i="2"/>
  <c r="AU3" i="2"/>
  <c r="AP3" i="2"/>
  <c r="BF3" i="1"/>
  <c r="BE3" i="1"/>
  <c r="BD3" i="1"/>
  <c r="BC3" i="1"/>
  <c r="AP3" i="1"/>
  <c r="BB3" i="1"/>
  <c r="AU3" i="1"/>
  <c r="BD19" i="1" l="1"/>
  <c r="BF19" i="1" s="1"/>
  <c r="BF18" i="1"/>
  <c r="BF15" i="1"/>
  <c r="BE9" i="1"/>
  <c r="BE12" i="1"/>
  <c r="BD9" i="1"/>
  <c r="BF9" i="1" s="1"/>
  <c r="BD12" i="1"/>
  <c r="BF12" i="1" s="1"/>
  <c r="BF10" i="1"/>
  <c r="BC6" i="1"/>
  <c r="BD7" i="1"/>
  <c r="BF7" i="1" s="1"/>
  <c r="BE5" i="1"/>
  <c r="BF5" i="1" s="1"/>
  <c r="BE8" i="1"/>
  <c r="BD8" i="1"/>
  <c r="BF8" i="1" s="1"/>
  <c r="BF6" i="1"/>
  <c r="I32" i="2" l="1"/>
  <c r="I31" i="2"/>
  <c r="I30" i="2"/>
  <c r="I29" i="2"/>
  <c r="I28" i="2"/>
  <c r="B29" i="2"/>
  <c r="I21" i="2"/>
  <c r="H21" i="2"/>
  <c r="F21" i="2"/>
  <c r="C21" i="2"/>
  <c r="B21" i="2"/>
  <c r="I20" i="2"/>
  <c r="H20" i="2"/>
  <c r="F20" i="2"/>
  <c r="C20" i="2"/>
  <c r="B20" i="2"/>
  <c r="I19" i="2"/>
  <c r="H19" i="2"/>
  <c r="F19" i="2"/>
  <c r="C19" i="2"/>
  <c r="B19" i="2"/>
  <c r="G16" i="2"/>
  <c r="C16" i="2"/>
  <c r="G15" i="2"/>
  <c r="C15" i="2"/>
  <c r="G14" i="2"/>
  <c r="C14" i="2"/>
  <c r="G13" i="2"/>
  <c r="C13" i="2"/>
  <c r="G11" i="2"/>
  <c r="G10" i="2"/>
  <c r="I32" i="1"/>
  <c r="I31" i="1"/>
  <c r="I30" i="1"/>
  <c r="I29" i="1"/>
  <c r="I28" i="1"/>
  <c r="B29" i="1"/>
  <c r="I21" i="1"/>
  <c r="H21" i="1"/>
  <c r="F21" i="1"/>
  <c r="C21" i="1"/>
  <c r="B21" i="1"/>
  <c r="I20" i="1"/>
  <c r="H20" i="1"/>
  <c r="F20" i="1"/>
  <c r="C20" i="1"/>
  <c r="B20" i="1"/>
  <c r="I19" i="1"/>
  <c r="H19" i="1"/>
  <c r="F19" i="1"/>
  <c r="C19" i="1"/>
  <c r="B19" i="1"/>
  <c r="G16" i="1"/>
  <c r="C16" i="1"/>
  <c r="G15" i="1"/>
  <c r="C15" i="1"/>
  <c r="G14" i="1"/>
  <c r="C14" i="1"/>
  <c r="G13" i="1"/>
  <c r="C13" i="1"/>
  <c r="G11" i="1"/>
  <c r="G10" i="1"/>
  <c r="G19" i="6" l="1"/>
  <c r="F19" i="6"/>
  <c r="D19" i="6"/>
  <c r="C19" i="6"/>
  <c r="G18" i="6"/>
  <c r="F18" i="6"/>
  <c r="D18" i="6"/>
  <c r="C18" i="6"/>
  <c r="C16" i="6"/>
  <c r="C14" i="6"/>
  <c r="J12" i="6"/>
  <c r="D12" i="6"/>
  <c r="K11" i="6"/>
  <c r="J11" i="6"/>
  <c r="I11" i="6"/>
  <c r="D10" i="6"/>
  <c r="G22" i="5"/>
  <c r="F22" i="5"/>
  <c r="G19" i="5"/>
  <c r="F19" i="5"/>
  <c r="D19" i="5"/>
  <c r="C19" i="5"/>
  <c r="G18" i="5"/>
  <c r="F18" i="5"/>
  <c r="D18" i="5"/>
  <c r="C18" i="5"/>
  <c r="J16" i="5"/>
  <c r="H16" i="5"/>
  <c r="F16" i="5"/>
  <c r="D16" i="5"/>
  <c r="D14" i="5"/>
  <c r="D13" i="5"/>
  <c r="D12" i="5"/>
  <c r="I11" i="5"/>
  <c r="D11" i="5"/>
  <c r="I10" i="5"/>
  <c r="D10" i="5"/>
  <c r="I9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30DE2200-66F7-4625-8E29-398A82BEB1DB}">
      <text>
        <r>
          <rPr>
            <sz val="10"/>
            <color rgb="FF000000"/>
            <rFont val="Calibri"/>
            <scheme val="minor"/>
          </rPr>
          <t>Insertar la razon social de la empresa</t>
        </r>
      </text>
    </comment>
    <comment ref="D4" authorId="0" shapeId="0" xr:uid="{4624FBA6-0B71-4D77-86A1-729709A95B3C}">
      <text>
        <r>
          <rPr>
            <sz val="10"/>
            <color rgb="FF000000"/>
            <rFont val="Calibri"/>
            <scheme val="minor"/>
          </rPr>
          <t>Inserta el NIT de la empresa</t>
        </r>
      </text>
    </comment>
    <comment ref="D5" authorId="0" shapeId="0" xr:uid="{5AB5F271-65CA-4EA8-A0C3-61D1C5A92D0E}">
      <text>
        <r>
          <rPr>
            <sz val="10"/>
            <color rgb="FF000000"/>
            <rFont val="Calibri"/>
            <scheme val="minor"/>
          </rPr>
          <t xml:space="preserve">Insertar la direccion de la empresa </t>
        </r>
      </text>
    </comment>
    <comment ref="D6" authorId="0" shapeId="0" xr:uid="{A5DF3DCE-F4AF-49BC-AD57-F35C353CBA13}">
      <text>
        <r>
          <rPr>
            <sz val="10"/>
            <color rgb="FF000000"/>
            <rFont val="Calibri"/>
            <scheme val="minor"/>
          </rPr>
          <t xml:space="preserve">Insertar el numero de telefono de la empresa
</t>
        </r>
      </text>
    </comment>
    <comment ref="D7" authorId="0" shapeId="0" xr:uid="{272B4753-3B36-488C-A06D-A5E36C2542A7}">
      <text>
        <r>
          <rPr>
            <sz val="10"/>
            <color rgb="FF000000"/>
            <rFont val="Calibri"/>
            <scheme val="minor"/>
          </rPr>
          <t xml:space="preserve">Insertar el correo electrico de la emrpesa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869715C2-D607-4ADA-A67B-F3D2E545631D}">
      <text>
        <r>
          <rPr>
            <sz val="10"/>
            <color rgb="FF000000"/>
            <rFont val="Calibri"/>
            <scheme val="minor"/>
          </rPr>
          <t>Insertar la razon social de la empresa</t>
        </r>
      </text>
    </comment>
    <comment ref="D4" authorId="0" shapeId="0" xr:uid="{23D0C190-31C9-4777-B181-C72C087E2FEB}">
      <text>
        <r>
          <rPr>
            <sz val="10"/>
            <color rgb="FF000000"/>
            <rFont val="Calibri"/>
            <scheme val="minor"/>
          </rPr>
          <t>Inserta el NIT de la empresa</t>
        </r>
      </text>
    </comment>
    <comment ref="D5" authorId="0" shapeId="0" xr:uid="{5BCC5B08-8686-416B-806E-B0D1D4759A1C}">
      <text>
        <r>
          <rPr>
            <sz val="10"/>
            <color rgb="FF000000"/>
            <rFont val="Calibri"/>
            <scheme val="minor"/>
          </rPr>
          <t xml:space="preserve">Insertar la direccion de la empresa </t>
        </r>
      </text>
    </comment>
    <comment ref="D6" authorId="0" shapeId="0" xr:uid="{2E08CBF7-0031-4D7C-A1A4-86D6A9773AEA}">
      <text>
        <r>
          <rPr>
            <sz val="10"/>
            <color rgb="FF000000"/>
            <rFont val="Calibri"/>
            <scheme val="minor"/>
          </rPr>
          <t xml:space="preserve">Insertar el numero de telefono de la empresa
</t>
        </r>
      </text>
    </comment>
    <comment ref="D7" authorId="0" shapeId="0" xr:uid="{FC36AB66-C524-4154-8225-E23F91EB174F}">
      <text>
        <r>
          <rPr>
            <sz val="10"/>
            <color rgb="FF000000"/>
            <rFont val="Calibri"/>
            <scheme val="minor"/>
          </rPr>
          <t xml:space="preserve">Insertar el correo electrico de la emrpesa
</t>
        </r>
      </text>
    </comment>
  </commentList>
</comments>
</file>

<file path=xl/sharedStrings.xml><?xml version="1.0" encoding="utf-8"?>
<sst xmlns="http://schemas.openxmlformats.org/spreadsheetml/2006/main" count="584" uniqueCount="304">
  <si>
    <t>Inserta tú logo</t>
  </si>
  <si>
    <t xml:space="preserve">FACTURA DE COMPRA               </t>
  </si>
  <si>
    <t>No</t>
  </si>
  <si>
    <t xml:space="preserve">FECHA DE EXPEDICIÓN: </t>
  </si>
  <si>
    <t xml:space="preserve">FECHA DE VENCIMIENTO: </t>
  </si>
  <si>
    <t>CLIENTE:</t>
  </si>
  <si>
    <t xml:space="preserve">DIRECCIÓN: </t>
  </si>
  <si>
    <t xml:space="preserve">C.C./N.I.T.: </t>
  </si>
  <si>
    <t xml:space="preserve">TELEFONO: </t>
  </si>
  <si>
    <t xml:space="preserve">REGIMEN:  </t>
  </si>
  <si>
    <t xml:space="preserve">CORREO ELECTRÓNICO:  </t>
  </si>
  <si>
    <t>CIUDAD:</t>
  </si>
  <si>
    <t xml:space="preserve">FORMA DE PAGO:  </t>
  </si>
  <si>
    <t>REFERENCIA</t>
  </si>
  <si>
    <t>ARTÍCULO Y/O SERVICIO</t>
  </si>
  <si>
    <t>CANTIDAD</t>
  </si>
  <si>
    <t>V/R UNITARIO</t>
  </si>
  <si>
    <t>V/R TOTAL</t>
  </si>
  <si>
    <t>VALOR TOTAL (En letras):</t>
  </si>
  <si>
    <t>SUBTOTAL: $</t>
  </si>
  <si>
    <t>IVA: $</t>
  </si>
  <si>
    <t>RETEFUENTE $</t>
  </si>
  <si>
    <t>RETEICA</t>
  </si>
  <si>
    <t>TOTAL: $</t>
  </si>
  <si>
    <t>TITULO VALOR SEGÚN LEY 1231 DE 2008</t>
  </si>
  <si>
    <t>FIRMA Y SELLO ELABORADO</t>
  </si>
  <si>
    <t>FIRMA Y SELLO RECIBIDO</t>
  </si>
  <si>
    <t>IMPRESO POR ______________ NIT ___________ TEL ___________</t>
  </si>
  <si>
    <t>#VALUE!</t>
  </si>
  <si>
    <t xml:space="preserve">FACTURA DE VENTA                       </t>
  </si>
  <si>
    <t xml:space="preserve">DECLARANTE </t>
  </si>
  <si>
    <t>REGÍMEN COMÚN</t>
  </si>
  <si>
    <t xml:space="preserve">COMPROBANTE  DE INGRESO                                     </t>
  </si>
  <si>
    <t>PAGADO A:</t>
  </si>
  <si>
    <t>FECHA:</t>
  </si>
  <si>
    <t>C.C./ N.I.T.</t>
  </si>
  <si>
    <t>VALOR $</t>
  </si>
  <si>
    <t>DIRECCIÓN:</t>
  </si>
  <si>
    <t>LA SUMA DE (en letras):</t>
  </si>
  <si>
    <t xml:space="preserve">POR CONCEPTO: </t>
  </si>
  <si>
    <t>CODIGO</t>
  </si>
  <si>
    <t>CONCEPTO</t>
  </si>
  <si>
    <t>DÉBITOS</t>
  </si>
  <si>
    <t>CREDITOS</t>
  </si>
  <si>
    <t>SUMAS</t>
  </si>
  <si>
    <t>CHEQUE No.</t>
  </si>
  <si>
    <t>EFECTIVO</t>
  </si>
  <si>
    <t>FIRMA Y SELLO DEL BENEFICIARIO</t>
  </si>
  <si>
    <t>BANCO.</t>
  </si>
  <si>
    <t>CUENTA No.</t>
  </si>
  <si>
    <t>SUCURSAL.</t>
  </si>
  <si>
    <t>OBSERVACIONES.</t>
  </si>
  <si>
    <t>C.C. / N.I.T.</t>
  </si>
  <si>
    <t>FECHA RECIBIDO:</t>
  </si>
  <si>
    <t>PREPARADO</t>
  </si>
  <si>
    <t>REVISADO</t>
  </si>
  <si>
    <t>APROBADO</t>
  </si>
  <si>
    <t>CONTABILIZADO</t>
  </si>
  <si>
    <t xml:space="preserve">COMPROBANTE  DE EGRESO                                              </t>
  </si>
  <si>
    <t xml:space="preserve">RECIBO DE CAJA   </t>
  </si>
  <si>
    <t xml:space="preserve">RECIBIDO DE: </t>
  </si>
  <si>
    <t>C.C./ N.I.T.:</t>
  </si>
  <si>
    <t>CORREO:</t>
  </si>
  <si>
    <t>DIRECCIÓN</t>
  </si>
  <si>
    <t>POR CONCEPTO DE:</t>
  </si>
  <si>
    <t>Cheque No.</t>
  </si>
  <si>
    <t>Banco:</t>
  </si>
  <si>
    <t>Sucursal:</t>
  </si>
  <si>
    <t xml:space="preserve">Efectivo: </t>
  </si>
  <si>
    <t>CUENTAS</t>
  </si>
  <si>
    <t>DEBITOS</t>
  </si>
  <si>
    <t>Firma y Sello</t>
  </si>
  <si>
    <t>SUMAS IGUALES</t>
  </si>
  <si>
    <t>CC / Nit. No.</t>
  </si>
  <si>
    <t>RECIBO DE CAJA MENOR</t>
  </si>
  <si>
    <t>CIUDAD</t>
  </si>
  <si>
    <t xml:space="preserve">DIA </t>
  </si>
  <si>
    <t xml:space="preserve">MES </t>
  </si>
  <si>
    <t>AÑO</t>
  </si>
  <si>
    <t>$</t>
  </si>
  <si>
    <t>VALOR EN LETRAS:</t>
  </si>
  <si>
    <t>FIRMA DE RECIBIDO :</t>
  </si>
  <si>
    <t>.</t>
  </si>
  <si>
    <t>CC</t>
  </si>
  <si>
    <t>NIT</t>
  </si>
  <si>
    <t>NO</t>
  </si>
  <si>
    <t xml:space="preserve">CUENTA No </t>
  </si>
  <si>
    <t>Fecha</t>
  </si>
  <si>
    <t xml:space="preserve">CHEQUE No. </t>
  </si>
  <si>
    <t xml:space="preserve">CONCEPTO: </t>
  </si>
  <si>
    <t xml:space="preserve">    PÁGUESE A LA ORDEN DE:            </t>
  </si>
  <si>
    <t>A FAVOR DE:</t>
  </si>
  <si>
    <t xml:space="preserve">   LA SUMA DE:</t>
  </si>
  <si>
    <t>Saldo anterior</t>
  </si>
  <si>
    <t>Consignación</t>
  </si>
  <si>
    <t>Suma</t>
  </si>
  <si>
    <t xml:space="preserve"> -este cheque</t>
  </si>
  <si>
    <t>FIRMA Y SELLO</t>
  </si>
  <si>
    <t>Saldo que pasa</t>
  </si>
  <si>
    <t xml:space="preserve">CUENTA BANCARIA N° </t>
  </si>
  <si>
    <t>No.</t>
  </si>
  <si>
    <t xml:space="preserve">LETRA DE CAMBIO </t>
  </si>
  <si>
    <t>Por $</t>
  </si>
  <si>
    <t>SEÑOR(ES):</t>
  </si>
  <si>
    <t>TEL</t>
  </si>
  <si>
    <t>EL DIA</t>
  </si>
  <si>
    <t>DE</t>
  </si>
  <si>
    <t>DEL AÑO</t>
  </si>
  <si>
    <t xml:space="preserve">PAGARA(N) SOLIDARIAMENTE EN </t>
  </si>
  <si>
    <t xml:space="preserve">A LA ORDEN DE </t>
  </si>
  <si>
    <t xml:space="preserve">LA CANTIDAD DE </t>
  </si>
  <si>
    <t>PESOS M/L,MASINTERESES DURANTE EL PLAZO DEL</t>
  </si>
  <si>
    <t>DIRECCION</t>
  </si>
  <si>
    <t>MENSUAL Y DE MORA A LA TASA MAXIMA LEGAL AUTORIZADA</t>
  </si>
  <si>
    <t>1.</t>
  </si>
  <si>
    <t>C.C.</t>
  </si>
  <si>
    <t>ATENTAMENTE,</t>
  </si>
  <si>
    <t>GIRADOS</t>
  </si>
  <si>
    <t>(GIRADOR)</t>
  </si>
  <si>
    <t>FECHA</t>
  </si>
  <si>
    <t>RECIBO DE  PAGO</t>
  </si>
  <si>
    <t>FORMA DE PAGO :</t>
  </si>
  <si>
    <t xml:space="preserve">RECIBIDO POR: </t>
  </si>
  <si>
    <t>N0.</t>
  </si>
  <si>
    <t>FECHA EXP.</t>
  </si>
  <si>
    <t>FECHA VENC.</t>
  </si>
  <si>
    <t>CLIENTE</t>
  </si>
  <si>
    <t>C.C./N.I.T.</t>
  </si>
  <si>
    <t>TELEFONO</t>
  </si>
  <si>
    <t>REGIMEN</t>
  </si>
  <si>
    <t>EMAIL</t>
  </si>
  <si>
    <t>FORMA DE PAGO</t>
  </si>
  <si>
    <t>ARTICULO</t>
  </si>
  <si>
    <t>VR. UNIT.</t>
  </si>
  <si>
    <t>VR. TOTAL</t>
  </si>
  <si>
    <t>VALOR EN LETRA</t>
  </si>
  <si>
    <t>SUBTOTAL</t>
  </si>
  <si>
    <t>IVA</t>
  </si>
  <si>
    <t>RETEFUENTE</t>
  </si>
  <si>
    <t>TOTAL</t>
  </si>
  <si>
    <t>PAGADO A</t>
  </si>
  <si>
    <t>C.C./N.I.T</t>
  </si>
  <si>
    <t>VALOR</t>
  </si>
  <si>
    <t>VALOR LETRAS</t>
  </si>
  <si>
    <t xml:space="preserve">POR CONCEPTO DE </t>
  </si>
  <si>
    <t>SUMA</t>
  </si>
  <si>
    <t>CODIGO 1</t>
  </si>
  <si>
    <t>CONCEPTO 1</t>
  </si>
  <si>
    <t>DEBITO 1</t>
  </si>
  <si>
    <t>CREDITO1</t>
  </si>
  <si>
    <t>SUMA 1</t>
  </si>
  <si>
    <t>CHEQUE NO.</t>
  </si>
  <si>
    <t>BANCO</t>
  </si>
  <si>
    <t>CUENTA N0.</t>
  </si>
  <si>
    <t>SUCURSAL</t>
  </si>
  <si>
    <t>OBSERVACIONES</t>
  </si>
  <si>
    <t xml:space="preserve">PAGADO A </t>
  </si>
  <si>
    <t>POR CONCEPTO</t>
  </si>
  <si>
    <t>DEBITOS 1</t>
  </si>
  <si>
    <t>CREDITOS 1</t>
  </si>
  <si>
    <t>RECIBIDO DE</t>
  </si>
  <si>
    <t>CC/NIT</t>
  </si>
  <si>
    <t>LA SUMA DE</t>
  </si>
  <si>
    <t>POR CONCEPTO DE</t>
  </si>
  <si>
    <t>CORREO</t>
  </si>
  <si>
    <t>CÓDIGO</t>
  </si>
  <si>
    <t>CRÉDITOS</t>
  </si>
  <si>
    <t>CÓDIGO1</t>
  </si>
  <si>
    <t>CUENTAS1</t>
  </si>
  <si>
    <t>DÉBITOS1</t>
  </si>
  <si>
    <t>CRÉDITOS1</t>
  </si>
  <si>
    <t>SUMA1</t>
  </si>
  <si>
    <t>NÚMERO</t>
  </si>
  <si>
    <t>DÍA</t>
  </si>
  <si>
    <t>MES</t>
  </si>
  <si>
    <t>PAG. A</t>
  </si>
  <si>
    <t>VALOR$</t>
  </si>
  <si>
    <t>VALOR letra</t>
  </si>
  <si>
    <t>COD</t>
  </si>
  <si>
    <t>SALDO</t>
  </si>
  <si>
    <t>CÓDIGO 1</t>
  </si>
  <si>
    <t>CUENTAS 1</t>
  </si>
  <si>
    <t xml:space="preserve">DÉBITOS 1 </t>
  </si>
  <si>
    <t>CRÉDITOS 1</t>
  </si>
  <si>
    <t>SALDOS 1</t>
  </si>
  <si>
    <t>A FAVOR DE</t>
  </si>
  <si>
    <t>SALDO ANTERIOR</t>
  </si>
  <si>
    <t>CONSIGNACION</t>
  </si>
  <si>
    <t>MENOS ESTE CHEQUE</t>
  </si>
  <si>
    <t>SALDO QUE PASA</t>
  </si>
  <si>
    <t>CHEQUE N0.</t>
  </si>
  <si>
    <t>PAGUESE A</t>
  </si>
  <si>
    <t>CUENTA BANCARIA NO.</t>
  </si>
  <si>
    <t>LETRA DE CAMBIO</t>
  </si>
  <si>
    <t>C.C</t>
  </si>
  <si>
    <t>FIRMA</t>
  </si>
  <si>
    <t>POR</t>
  </si>
  <si>
    <t>SEÑORES</t>
  </si>
  <si>
    <t>PAGARAN SOLIDARIAMENTE EN</t>
  </si>
  <si>
    <t xml:space="preserve">PESOS MAS LO INTERESES DURANTE EL PLAZO DEL </t>
  </si>
  <si>
    <t>RECIBO DE PAGO</t>
  </si>
  <si>
    <t>RECIBIDO DE:</t>
  </si>
  <si>
    <t xml:space="preserve">C.C / NIT </t>
  </si>
  <si>
    <t xml:space="preserve">FECHA: </t>
  </si>
  <si>
    <t>CUIDAD</t>
  </si>
  <si>
    <t xml:space="preserve">LA SUMA DE </t>
  </si>
  <si>
    <t xml:space="preserve">POR CENCEPTO DE </t>
  </si>
  <si>
    <t xml:space="preserve">CODIGO </t>
  </si>
  <si>
    <t xml:space="preserve">DEBITOS </t>
  </si>
  <si>
    <t>1121846020-9</t>
  </si>
  <si>
    <t>CALLE 38C No 73A 78SUR</t>
  </si>
  <si>
    <t>ArepaslaExquisita@gmail.com</t>
  </si>
  <si>
    <t>ArepaslaExquisitasoporte@gmail.com</t>
  </si>
  <si>
    <t>ArepaslaExquistasoporte@gmail.com</t>
  </si>
  <si>
    <t>CALLE 38C No 73A 78 SUR</t>
  </si>
  <si>
    <t>ARA S.A</t>
  </si>
  <si>
    <t>87654321-0</t>
  </si>
  <si>
    <t xml:space="preserve">BOGOTÁ D.C </t>
  </si>
  <si>
    <t>CALLE 56A No 65-14</t>
  </si>
  <si>
    <t>QUINCE MILLONES DE PESOS</t>
  </si>
  <si>
    <t>COMPRA INGREDIENTES</t>
  </si>
  <si>
    <t>ARA@GMAIL.COM</t>
  </si>
  <si>
    <t>BANCOLOMBIA</t>
  </si>
  <si>
    <t>KENNEDY</t>
  </si>
  <si>
    <t>BANCOS</t>
  </si>
  <si>
    <t>TATIANA'SA</t>
  </si>
  <si>
    <t>CRA 11B No 3-15</t>
  </si>
  <si>
    <t>COMÚN</t>
  </si>
  <si>
    <t>TATIANA´SA@GMAIL.COM</t>
  </si>
  <si>
    <t>BOGOTÁ D.C</t>
  </si>
  <si>
    <t>CONTADO</t>
  </si>
  <si>
    <t>AREPAS</t>
  </si>
  <si>
    <t>MAIZ PETO</t>
  </si>
  <si>
    <t>TATIANA´'S.A</t>
  </si>
  <si>
    <t>CRA 11B N0 13-15</t>
  </si>
  <si>
    <t>AREPAS DE MAIZ</t>
  </si>
  <si>
    <t>CIENTO SESENTA Y OCHO MIL QUINIENTOS OCHENTA Y UNO</t>
  </si>
  <si>
    <t>TATIANA´BOUTIQUE</t>
  </si>
  <si>
    <t>TV 59 B N0 34 SUR</t>
  </si>
  <si>
    <t>OCHENTA MIL</t>
  </si>
  <si>
    <t>VENTA AL POR MAYOR</t>
  </si>
  <si>
    <t xml:space="preserve"> AREPAS DE MAIZ</t>
  </si>
  <si>
    <t>CAJA GENERAL</t>
  </si>
  <si>
    <t>DOMICILIO ENTREGADO</t>
  </si>
  <si>
    <t>ÉXITO S.A</t>
  </si>
  <si>
    <t>235765198-7</t>
  </si>
  <si>
    <t>1121675489-1</t>
  </si>
  <si>
    <t>CRA 8 CALLE 112A</t>
  </si>
  <si>
    <t>UN MILLON CIEN MIL</t>
  </si>
  <si>
    <t>QUESO DOBLE CREMA</t>
  </si>
  <si>
    <t>3567543-2</t>
  </si>
  <si>
    <t>PORVENIR</t>
  </si>
  <si>
    <t>SIN SALDO</t>
  </si>
  <si>
    <t>TATIANA S.A.S</t>
  </si>
  <si>
    <t>MASA PARA AREPAS</t>
  </si>
  <si>
    <t>TRESIENTOS VEINTE MIL</t>
  </si>
  <si>
    <t>PAGO POR PAQUETES DE AREPAS</t>
  </si>
  <si>
    <t>ALMACEN ALKOSTO S.A</t>
  </si>
  <si>
    <t>TRECIENTOS MIL</t>
  </si>
  <si>
    <t>NIT: 1121846020-9</t>
  </si>
  <si>
    <t xml:space="preserve">PEDRO ARIAS </t>
  </si>
  <si>
    <t>CALLE 110C N0 36-12</t>
  </si>
  <si>
    <t>MARIA CASTRO</t>
  </si>
  <si>
    <t>CALLE 5 CRA 12A</t>
  </si>
  <si>
    <t>PEDRO ARIAS Y MARIA CASTRO</t>
  </si>
  <si>
    <t>MARZO</t>
  </si>
  <si>
    <t>ANDREA PEREZ</t>
  </si>
  <si>
    <t>11231098765-5</t>
  </si>
  <si>
    <t>BOGOTA D.C</t>
  </si>
  <si>
    <t>ANDREAPEREZ@GMAIL.COM</t>
  </si>
  <si>
    <t>CRA 9 No 8A- 5 SUR</t>
  </si>
  <si>
    <t>SETESIENTOS MIL PESOS</t>
  </si>
  <si>
    <t>ARRIENDO LOCAL</t>
  </si>
  <si>
    <t>ARRENDAMIENTO</t>
  </si>
  <si>
    <t>CALLE 38C 73A 78SUR</t>
  </si>
  <si>
    <t>SOPORTEAREPASLAEXQUISITA@GMAIL.COM</t>
  </si>
  <si>
    <t>CHEQUE</t>
  </si>
  <si>
    <t>MASA AREPAS</t>
  </si>
  <si>
    <t>CIENTO OCHENTA Y UN MIL QUINIENTOS OCHENTA Y SIETE</t>
  </si>
  <si>
    <t>OCHENTA Y TRES MIL TRESIENTOS SETENTA Y UNO</t>
  </si>
  <si>
    <t>COM+UN</t>
  </si>
  <si>
    <t>CUARENTA Y SEIS MIL PESOS</t>
  </si>
  <si>
    <t>CALLE 38C 73A-78SUR</t>
  </si>
  <si>
    <t>CUARENTA Y CINCO MIL PESOS</t>
  </si>
  <si>
    <t>HONORARIOS</t>
  </si>
  <si>
    <t>ARA S.A.S</t>
  </si>
  <si>
    <t>AREPAS LA EXQUISITA SAS</t>
  </si>
  <si>
    <t xml:space="preserve">Arepas la exquisita SAS </t>
  </si>
  <si>
    <t xml:space="preserve">AREPAS LA EXQUISITA SAS </t>
  </si>
  <si>
    <t>COMPROBANTE DE PAGO</t>
  </si>
  <si>
    <t>FECHA DE PAGO</t>
  </si>
  <si>
    <t>NOMBRE CLIENTE</t>
  </si>
  <si>
    <t>SEDE</t>
  </si>
  <si>
    <t>SITUACIÓN</t>
  </si>
  <si>
    <t>N. DOCUMENTO</t>
  </si>
  <si>
    <t>IMPORTE TOTAL</t>
  </si>
  <si>
    <t>AREPAS EXQUISITA  KAREN TATIANA</t>
  </si>
  <si>
    <t>SEDE DE KENNEDY CENTRAL</t>
  </si>
  <si>
    <t>VARIOS</t>
  </si>
  <si>
    <t>COMPRA DE INGREDIENTES</t>
  </si>
  <si>
    <t>Tot.PAGADO-EFECTIVO</t>
  </si>
  <si>
    <t>(TOTAL PAGADO)</t>
  </si>
  <si>
    <t>CODIGO DEL VOUCHER</t>
  </si>
  <si>
    <t>02604627 -5-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</si>
</sst>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;[Red]\-&quot;$&quot;\ #,##0"/>
    <numFmt numFmtId="165" formatCode="_(&quot;$&quot;\ * #,##0_);_(&quot;$&quot;\ * \(#,##0\);_(&quot;$&quot;\ * &quot;-&quot;??_);_(@_)"/>
    <numFmt numFmtId="166" formatCode="_(&quot;$&quot;* #,##0_);_(&quot;$&quot;* \(#,##0\);_(&quot;$&quot;* &quot;-&quot;_);_(@_)"/>
    <numFmt numFmtId="167" formatCode="_-* #,##0_-;\-* #,##0_-;_-* &quot;-&quot;_-;_-@"/>
    <numFmt numFmtId="168" formatCode="d/m/yyyy"/>
    <numFmt numFmtId="169" formatCode="_-&quot;$&quot;\ * #,##0_-;\-&quot;$&quot;\ * #,##0_-;_-&quot;$&quot;\ * &quot;-&quot;??_-;_-@"/>
    <numFmt numFmtId="170" formatCode="_-&quot;$&quot;\ * #,##0.00_-;\-&quot;$&quot;\ * #,##0.00_-;_-&quot;$&quot;\ * &quot;-&quot;??_-;_-@"/>
  </numFmts>
  <fonts count="58">
    <font>
      <sz val="11"/>
      <color theme="1"/>
      <name val="Calibri"/>
      <family val="2"/>
      <scheme val="minor"/>
    </font>
    <font>
      <sz val="10"/>
      <color rgb="FFFF0000"/>
      <name val="Twentieth Century"/>
    </font>
    <font>
      <sz val="10"/>
      <name val="Arial"/>
    </font>
    <font>
      <b/>
      <sz val="18"/>
      <color theme="1"/>
      <name val="Twentieth Century"/>
    </font>
    <font>
      <b/>
      <sz val="12"/>
      <color theme="1"/>
      <name val="Twentieth Century"/>
    </font>
    <font>
      <sz val="10"/>
      <color theme="1"/>
      <name val="Twentieth Century"/>
    </font>
    <font>
      <u/>
      <sz val="10"/>
      <color theme="10"/>
      <name val="Arial"/>
    </font>
    <font>
      <u/>
      <sz val="10"/>
      <color theme="1"/>
      <name val="Twentieth Century"/>
    </font>
    <font>
      <b/>
      <sz val="10"/>
      <color theme="1"/>
      <name val="Twentieth Century"/>
    </font>
    <font>
      <b/>
      <i/>
      <sz val="10"/>
      <color theme="1"/>
      <name val="Twentieth Century"/>
    </font>
    <font>
      <sz val="8"/>
      <color theme="1"/>
      <name val="Twentieth Century"/>
    </font>
    <font>
      <sz val="10"/>
      <color rgb="FF000000"/>
      <name val="Calibri"/>
      <scheme val="minor"/>
    </font>
    <font>
      <b/>
      <sz val="14"/>
      <color theme="1"/>
      <name val="Chicago"/>
    </font>
    <font>
      <sz val="8"/>
      <color rgb="FFFF0000"/>
      <name val="Twentieth Century"/>
    </font>
    <font>
      <b/>
      <sz val="10"/>
      <color rgb="FF0070C0"/>
      <name val="Chicago"/>
    </font>
    <font>
      <b/>
      <sz val="20"/>
      <color theme="1"/>
      <name val="Twentieth Century"/>
    </font>
    <font>
      <sz val="10"/>
      <color rgb="FF000000"/>
      <name val="Arial"/>
    </font>
    <font>
      <b/>
      <sz val="14"/>
      <color theme="1"/>
      <name val="Twentieth Century"/>
    </font>
    <font>
      <b/>
      <sz val="11"/>
      <color theme="1"/>
      <name val="Twentieth Century"/>
    </font>
    <font>
      <sz val="11"/>
      <color theme="1"/>
      <name val="Twentieth Century"/>
    </font>
    <font>
      <sz val="10"/>
      <color theme="1"/>
      <name val="Arial"/>
    </font>
    <font>
      <b/>
      <sz val="14"/>
      <color rgb="FF0070C0"/>
      <name val="Chicago"/>
    </font>
    <font>
      <b/>
      <sz val="18"/>
      <color theme="1"/>
      <name val="Arial"/>
    </font>
    <font>
      <sz val="16"/>
      <color rgb="FF000000"/>
      <name val="Arial"/>
    </font>
    <font>
      <sz val="6"/>
      <color rgb="FFFF0000"/>
      <name val="Twentieth Century"/>
    </font>
    <font>
      <sz val="11"/>
      <color rgb="FF000000"/>
      <name val="Twentieth Century"/>
    </font>
    <font>
      <b/>
      <sz val="12"/>
      <color rgb="FF0070C0"/>
      <name val="Chicago"/>
    </font>
    <font>
      <b/>
      <sz val="18"/>
      <color rgb="FF000000"/>
      <name val="Twentieth Century"/>
    </font>
    <font>
      <sz val="18"/>
      <color theme="1"/>
      <name val="Arial"/>
    </font>
    <font>
      <sz val="9"/>
      <color rgb="FF000000"/>
      <name val="Twentieth Century"/>
    </font>
    <font>
      <b/>
      <sz val="9"/>
      <color rgb="FF000000"/>
      <name val="Twentieth Century"/>
    </font>
    <font>
      <b/>
      <sz val="8"/>
      <color theme="1"/>
      <name val="Arial Narrow"/>
    </font>
    <font>
      <b/>
      <sz val="10"/>
      <color theme="1"/>
      <name val="Arial Narrow"/>
    </font>
    <font>
      <sz val="8"/>
      <color theme="1"/>
      <name val="Arial"/>
    </font>
    <font>
      <b/>
      <sz val="11"/>
      <color theme="1"/>
      <name val="Arial"/>
    </font>
    <font>
      <sz val="8"/>
      <color rgb="FF333399"/>
      <name val="Arial Narrow"/>
    </font>
    <font>
      <sz val="10"/>
      <color theme="1"/>
      <name val="Arial Narrow"/>
    </font>
    <font>
      <b/>
      <sz val="10"/>
      <color rgb="FF000080"/>
      <name val="Arial Narrow"/>
    </font>
    <font>
      <b/>
      <sz val="11"/>
      <color rgb="FF974806"/>
      <name val="Calibri"/>
    </font>
    <font>
      <b/>
      <sz val="14"/>
      <color rgb="FF974806"/>
      <name val="Calibri"/>
    </font>
    <font>
      <b/>
      <sz val="12"/>
      <color theme="9"/>
      <name val="Calibri"/>
    </font>
    <font>
      <b/>
      <sz val="12"/>
      <color rgb="FF974806"/>
      <name val="Calibri"/>
    </font>
    <font>
      <sz val="9"/>
      <color theme="1"/>
      <name val="Calibri"/>
    </font>
    <font>
      <sz val="10"/>
      <color rgb="FF974806"/>
      <name val="Calibri"/>
    </font>
    <font>
      <sz val="8"/>
      <color rgb="FF974806"/>
      <name val="Calibri"/>
    </font>
    <font>
      <sz val="11"/>
      <color rgb="FF974806"/>
      <name val="Calibri"/>
    </font>
    <font>
      <sz val="9"/>
      <color rgb="FF974806"/>
      <name val="Calibri"/>
    </font>
    <font>
      <sz val="8"/>
      <color theme="1"/>
      <name val="Calibri"/>
    </font>
    <font>
      <sz val="8"/>
      <color theme="0"/>
      <name val="Calibri"/>
    </font>
    <font>
      <b/>
      <sz val="11"/>
      <color rgb="FF000000"/>
      <name val="Twentieth Century"/>
    </font>
    <font>
      <b/>
      <sz val="10"/>
      <color theme="1"/>
      <name val="Arial"/>
    </font>
    <font>
      <b/>
      <sz val="10"/>
      <color rgb="FF244061"/>
      <name val="Arial"/>
    </font>
    <font>
      <b/>
      <sz val="10"/>
      <color rgb="FF000000"/>
      <name val="Arial"/>
    </font>
    <font>
      <u/>
      <sz val="11"/>
      <color theme="10"/>
      <name val="Calibri"/>
      <family val="2"/>
      <scheme val="minor"/>
    </font>
    <font>
      <b/>
      <sz val="12"/>
      <color theme="1"/>
      <name val="Chicago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CC66"/>
        <bgColor rgb="FFFFCC66"/>
      </patternFill>
    </fill>
    <fill>
      <patternFill patternType="solid">
        <fgColor rgb="FFFBD4B4"/>
        <bgColor rgb="FFFBD4B4"/>
      </patternFill>
    </fill>
    <fill>
      <patternFill patternType="solid">
        <fgColor rgb="FF974806"/>
        <bgColor rgb="FF974806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rgb="FF000000"/>
      </right>
      <top style="medium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rgb="FF000000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rgb="FF000000"/>
      </right>
      <top/>
      <bottom style="medium">
        <color theme="1"/>
      </bottom>
      <diagonal/>
    </border>
    <border>
      <left style="medium">
        <color rgb="FF000000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theme="1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theme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thin">
        <color rgb="FF000000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rgb="FF000000"/>
      </top>
      <bottom/>
      <diagonal/>
    </border>
    <border>
      <left/>
      <right style="medium">
        <color theme="1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974806"/>
      </left>
      <right/>
      <top style="thin">
        <color rgb="FF974806"/>
      </top>
      <bottom/>
      <diagonal/>
    </border>
    <border>
      <left/>
      <right/>
      <top style="thin">
        <color rgb="FF974806"/>
      </top>
      <bottom/>
      <diagonal/>
    </border>
    <border>
      <left/>
      <right style="thin">
        <color rgb="FF974806"/>
      </right>
      <top style="thin">
        <color rgb="FF974806"/>
      </top>
      <bottom/>
      <diagonal/>
    </border>
    <border>
      <left style="thin">
        <color rgb="FF974806"/>
      </left>
      <right style="thin">
        <color rgb="FF974806"/>
      </right>
      <top style="thin">
        <color rgb="FF974806"/>
      </top>
      <bottom/>
      <diagonal/>
    </border>
    <border>
      <left style="thin">
        <color rgb="FF974806"/>
      </left>
      <right/>
      <top/>
      <bottom/>
      <diagonal/>
    </border>
    <border>
      <left style="thin">
        <color rgb="FF974806"/>
      </left>
      <right style="thin">
        <color rgb="FF974806"/>
      </right>
      <top/>
      <bottom/>
      <diagonal/>
    </border>
    <border>
      <left/>
      <right style="thin">
        <color rgb="FF974806"/>
      </right>
      <top/>
      <bottom/>
      <diagonal/>
    </border>
    <border>
      <left/>
      <right/>
      <top/>
      <bottom style="thin">
        <color rgb="FF974806"/>
      </bottom>
      <diagonal/>
    </border>
    <border>
      <left style="thin">
        <color rgb="FF974806"/>
      </left>
      <right/>
      <top/>
      <bottom style="thin">
        <color rgb="FF974806"/>
      </bottom>
      <diagonal/>
    </border>
    <border>
      <left/>
      <right style="thin">
        <color rgb="FF974806"/>
      </right>
      <top/>
      <bottom style="thin">
        <color rgb="FF974806"/>
      </bottom>
      <diagonal/>
    </border>
    <border>
      <left style="thin">
        <color rgb="FF974806"/>
      </left>
      <right style="thin">
        <color rgb="FF974806"/>
      </right>
      <top/>
      <bottom style="thin">
        <color rgb="FF974806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414">
    <xf numFmtId="0" fontId="0" fillId="0" borderId="0" xfId="0"/>
    <xf numFmtId="0" fontId="0" fillId="0" borderId="0" xfId="0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" fillId="0" borderId="0" xfId="0" applyFont="1"/>
    <xf numFmtId="0" fontId="1" fillId="0" borderId="14" xfId="0" applyFont="1" applyBorder="1"/>
    <xf numFmtId="0" fontId="5" fillId="0" borderId="8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4" xfId="0" applyFont="1" applyBorder="1"/>
    <xf numFmtId="0" fontId="5" fillId="0" borderId="1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165" fontId="5" fillId="0" borderId="28" xfId="0" applyNumberFormat="1" applyFont="1" applyBorder="1"/>
    <xf numFmtId="3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0" fontId="5" fillId="0" borderId="30" xfId="0" applyFont="1" applyBorder="1" applyAlignment="1">
      <alignment horizontal="left"/>
    </xf>
    <xf numFmtId="165" fontId="5" fillId="0" borderId="34" xfId="0" applyNumberFormat="1" applyFont="1" applyBorder="1"/>
    <xf numFmtId="0" fontId="5" fillId="0" borderId="19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8" xfId="0" applyFont="1" applyBorder="1" applyAlignment="1">
      <alignment horizontal="left" wrapText="1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45" xfId="0" applyFont="1" applyBorder="1"/>
    <xf numFmtId="0" fontId="5" fillId="0" borderId="46" xfId="0" applyFont="1" applyBorder="1"/>
    <xf numFmtId="0" fontId="5" fillId="0" borderId="47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50" xfId="0" applyFont="1" applyBorder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8" fillId="0" borderId="56" xfId="0" applyFont="1" applyBorder="1"/>
    <xf numFmtId="0" fontId="19" fillId="0" borderId="51" xfId="0" applyFont="1" applyBorder="1" applyAlignment="1">
      <alignment horizontal="center"/>
    </xf>
    <xf numFmtId="165" fontId="19" fillId="0" borderId="51" xfId="0" applyNumberFormat="1" applyFont="1" applyBorder="1"/>
    <xf numFmtId="0" fontId="20" fillId="0" borderId="52" xfId="0" applyFont="1" applyBorder="1"/>
    <xf numFmtId="0" fontId="20" fillId="0" borderId="53" xfId="0" applyFont="1" applyBorder="1"/>
    <xf numFmtId="0" fontId="18" fillId="0" borderId="56" xfId="0" applyFont="1" applyBorder="1" applyAlignment="1">
      <alignment vertical="top"/>
    </xf>
    <xf numFmtId="0" fontId="18" fillId="0" borderId="52" xfId="0" applyFont="1" applyBorder="1" applyAlignment="1">
      <alignment vertical="top"/>
    </xf>
    <xf numFmtId="0" fontId="18" fillId="0" borderId="5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3" fontId="19" fillId="0" borderId="56" xfId="0" applyNumberFormat="1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56" xfId="0" applyFont="1" applyBorder="1"/>
    <xf numFmtId="0" fontId="5" fillId="0" borderId="56" xfId="0" applyFont="1" applyBorder="1"/>
    <xf numFmtId="3" fontId="5" fillId="0" borderId="56" xfId="0" applyNumberFormat="1" applyFont="1" applyBorder="1" applyAlignment="1">
      <alignment horizontal="center"/>
    </xf>
    <xf numFmtId="3" fontId="5" fillId="0" borderId="54" xfId="0" applyNumberFormat="1" applyFont="1" applyBorder="1" applyAlignment="1">
      <alignment horizontal="center"/>
    </xf>
    <xf numFmtId="3" fontId="5" fillId="0" borderId="58" xfId="0" applyNumberFormat="1" applyFont="1" applyBorder="1" applyAlignment="1">
      <alignment horizontal="center"/>
    </xf>
    <xf numFmtId="3" fontId="5" fillId="0" borderId="59" xfId="0" applyNumberFormat="1" applyFont="1" applyBorder="1" applyAlignment="1">
      <alignment horizontal="center"/>
    </xf>
    <xf numFmtId="0" fontId="5" fillId="0" borderId="56" xfId="0" applyFont="1" applyBorder="1" applyAlignment="1">
      <alignment horizontal="left"/>
    </xf>
    <xf numFmtId="0" fontId="20" fillId="0" borderId="10" xfId="0" applyFont="1" applyBorder="1"/>
    <xf numFmtId="0" fontId="16" fillId="0" borderId="0" xfId="0" applyFont="1"/>
    <xf numFmtId="0" fontId="20" fillId="0" borderId="9" xfId="0" applyFont="1" applyBorder="1"/>
    <xf numFmtId="0" fontId="22" fillId="0" borderId="10" xfId="0" applyFont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8" fillId="0" borderId="51" xfId="0" applyFont="1" applyBorder="1"/>
    <xf numFmtId="165" fontId="19" fillId="0" borderId="51" xfId="0" applyNumberFormat="1" applyFont="1" applyBorder="1" applyAlignment="1">
      <alignment vertical="top" wrapText="1"/>
    </xf>
    <xf numFmtId="165" fontId="18" fillId="0" borderId="53" xfId="0" applyNumberFormat="1" applyFont="1" applyBorder="1" applyAlignment="1">
      <alignment vertical="top" wrapText="1"/>
    </xf>
    <xf numFmtId="0" fontId="20" fillId="0" borderId="56" xfId="0" applyFont="1" applyBorder="1" applyAlignment="1">
      <alignment vertical="top"/>
    </xf>
    <xf numFmtId="0" fontId="18" fillId="0" borderId="52" xfId="0" applyFont="1" applyBorder="1" applyAlignment="1">
      <alignment horizontal="left" vertical="top"/>
    </xf>
    <xf numFmtId="0" fontId="19" fillId="0" borderId="52" xfId="0" applyFont="1" applyBorder="1" applyAlignment="1">
      <alignment vertical="top" wrapText="1"/>
    </xf>
    <xf numFmtId="0" fontId="18" fillId="0" borderId="11" xfId="0" applyFont="1" applyBorder="1" applyAlignment="1">
      <alignment vertical="top"/>
    </xf>
    <xf numFmtId="0" fontId="18" fillId="0" borderId="53" xfId="0" applyFont="1" applyBorder="1" applyAlignment="1">
      <alignment vertical="top"/>
    </xf>
    <xf numFmtId="166" fontId="19" fillId="0" borderId="56" xfId="0" applyNumberFormat="1" applyFont="1" applyBorder="1"/>
    <xf numFmtId="166" fontId="5" fillId="0" borderId="56" xfId="0" applyNumberFormat="1" applyFont="1" applyBorder="1"/>
    <xf numFmtId="166" fontId="5" fillId="0" borderId="54" xfId="0" applyNumberFormat="1" applyFont="1" applyBorder="1"/>
    <xf numFmtId="166" fontId="5" fillId="0" borderId="58" xfId="0" applyNumberFormat="1" applyFont="1" applyBorder="1"/>
    <xf numFmtId="165" fontId="5" fillId="0" borderId="59" xfId="0" applyNumberFormat="1" applyFont="1" applyBorder="1"/>
    <xf numFmtId="0" fontId="15" fillId="0" borderId="46" xfId="0" applyFont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0" borderId="4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65" xfId="0" applyFont="1" applyBorder="1" applyAlignment="1">
      <alignment vertical="center" wrapText="1"/>
    </xf>
    <xf numFmtId="0" fontId="8" fillId="0" borderId="66" xfId="0" applyFont="1" applyBorder="1"/>
    <xf numFmtId="0" fontId="8" fillId="0" borderId="56" xfId="0" applyFont="1" applyBorder="1" applyAlignment="1">
      <alignment horizontal="left"/>
    </xf>
    <xf numFmtId="0" fontId="8" fillId="0" borderId="70" xfId="0" applyFont="1" applyBorder="1"/>
    <xf numFmtId="0" fontId="8" fillId="0" borderId="7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/>
    </xf>
    <xf numFmtId="0" fontId="18" fillId="0" borderId="76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5" fillId="0" borderId="78" xfId="0" applyFont="1" applyBorder="1" applyAlignment="1">
      <alignment horizontal="right"/>
    </xf>
    <xf numFmtId="165" fontId="5" fillId="0" borderId="56" xfId="0" applyNumberFormat="1" applyFont="1" applyBorder="1" applyAlignment="1">
      <alignment horizontal="center"/>
    </xf>
    <xf numFmtId="1" fontId="5" fillId="0" borderId="78" xfId="0" applyNumberFormat="1" applyFont="1" applyBorder="1" applyAlignment="1">
      <alignment horizontal="right"/>
    </xf>
    <xf numFmtId="3" fontId="5" fillId="0" borderId="56" xfId="0" applyNumberFormat="1" applyFont="1" applyBorder="1"/>
    <xf numFmtId="0" fontId="5" fillId="0" borderId="78" xfId="0" applyFont="1" applyBorder="1"/>
    <xf numFmtId="0" fontId="5" fillId="0" borderId="79" xfId="0" applyFont="1" applyBorder="1"/>
    <xf numFmtId="0" fontId="8" fillId="0" borderId="56" xfId="0" applyFont="1" applyBorder="1" applyAlignment="1">
      <alignment horizontal="center"/>
    </xf>
    <xf numFmtId="0" fontId="25" fillId="0" borderId="1" xfId="0" applyFont="1" applyBorder="1"/>
    <xf numFmtId="0" fontId="25" fillId="0" borderId="4" xfId="0" applyFont="1" applyBorder="1"/>
    <xf numFmtId="0" fontId="25" fillId="0" borderId="50" xfId="0" applyFont="1" applyBorder="1"/>
    <xf numFmtId="0" fontId="25" fillId="0" borderId="8" xfId="0" applyFont="1" applyBorder="1"/>
    <xf numFmtId="0" fontId="25" fillId="0" borderId="14" xfId="0" applyFont="1" applyBorder="1"/>
    <xf numFmtId="0" fontId="28" fillId="0" borderId="51" xfId="0" applyFont="1" applyBorder="1" applyAlignment="1">
      <alignment wrapText="1"/>
    </xf>
    <xf numFmtId="0" fontId="28" fillId="2" borderId="52" xfId="0" applyFont="1" applyFill="1" applyBorder="1" applyAlignment="1">
      <alignment horizontal="center" wrapText="1"/>
    </xf>
    <xf numFmtId="0" fontId="28" fillId="0" borderId="52" xfId="0" applyFont="1" applyBorder="1" applyAlignment="1">
      <alignment wrapText="1"/>
    </xf>
    <xf numFmtId="0" fontId="28" fillId="0" borderId="53" xfId="0" applyFont="1" applyBorder="1" applyAlignment="1">
      <alignment wrapText="1"/>
    </xf>
    <xf numFmtId="0" fontId="29" fillId="0" borderId="13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29" fillId="0" borderId="53" xfId="0" applyFont="1" applyBorder="1"/>
    <xf numFmtId="0" fontId="29" fillId="0" borderId="56" xfId="0" applyFont="1" applyBorder="1"/>
    <xf numFmtId="0" fontId="29" fillId="0" borderId="57" xfId="0" applyFont="1" applyBorder="1"/>
    <xf numFmtId="0" fontId="29" fillId="0" borderId="51" xfId="0" applyFont="1" applyBorder="1" applyAlignment="1">
      <alignment horizontal="center"/>
    </xf>
    <xf numFmtId="0" fontId="30" fillId="0" borderId="56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/>
    </xf>
    <xf numFmtId="3" fontId="29" fillId="0" borderId="56" xfId="0" applyNumberFormat="1" applyFont="1" applyBorder="1" applyAlignment="1">
      <alignment horizontal="center"/>
    </xf>
    <xf numFmtId="0" fontId="29" fillId="0" borderId="56" xfId="0" applyFont="1" applyBorder="1" applyAlignment="1">
      <alignment horizontal="right"/>
    </xf>
    <xf numFmtId="0" fontId="25" fillId="0" borderId="46" xfId="0" applyFont="1" applyBorder="1"/>
    <xf numFmtId="0" fontId="25" fillId="0" borderId="47" xfId="0" applyFont="1" applyBorder="1"/>
    <xf numFmtId="0" fontId="25" fillId="0" borderId="49" xfId="0" applyFont="1" applyBorder="1"/>
    <xf numFmtId="0" fontId="31" fillId="0" borderId="5" xfId="0" applyFont="1" applyBorder="1"/>
    <xf numFmtId="0" fontId="16" fillId="2" borderId="0" xfId="0" applyFont="1" applyFill="1"/>
    <xf numFmtId="0" fontId="32" fillId="0" borderId="6" xfId="0" applyFont="1" applyBorder="1"/>
    <xf numFmtId="0" fontId="32" fillId="0" borderId="7" xfId="0" applyFont="1" applyBorder="1"/>
    <xf numFmtId="3" fontId="31" fillId="0" borderId="10" xfId="0" applyNumberFormat="1" applyFont="1" applyBorder="1"/>
    <xf numFmtId="0" fontId="32" fillId="0" borderId="14" xfId="0" applyFont="1" applyBorder="1"/>
    <xf numFmtId="0" fontId="32" fillId="0" borderId="0" xfId="0" applyFont="1"/>
    <xf numFmtId="0" fontId="33" fillId="0" borderId="0" xfId="0" applyFont="1"/>
    <xf numFmtId="0" fontId="32" fillId="0" borderId="9" xfId="0" applyFont="1" applyBorder="1"/>
    <xf numFmtId="0" fontId="31" fillId="0" borderId="10" xfId="0" applyFont="1" applyBorder="1"/>
    <xf numFmtId="0" fontId="33" fillId="0" borderId="0" xfId="0" applyFont="1" applyAlignment="1">
      <alignment horizontal="left"/>
    </xf>
    <xf numFmtId="14" fontId="20" fillId="0" borderId="0" xfId="0" applyNumberFormat="1" applyFont="1"/>
    <xf numFmtId="0" fontId="32" fillId="0" borderId="14" xfId="0" applyFont="1" applyBorder="1" applyAlignment="1">
      <alignment horizontal="left"/>
    </xf>
    <xf numFmtId="0" fontId="20" fillId="0" borderId="0" xfId="0" applyFont="1"/>
    <xf numFmtId="168" fontId="32" fillId="0" borderId="0" xfId="0" applyNumberFormat="1" applyFont="1" applyAlignment="1">
      <alignment horizontal="left"/>
    </xf>
    <xf numFmtId="0" fontId="16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168" fontId="32" fillId="0" borderId="14" xfId="0" applyNumberFormat="1" applyFont="1" applyBorder="1" applyAlignment="1">
      <alignment horizontal="left"/>
    </xf>
    <xf numFmtId="3" fontId="32" fillId="0" borderId="9" xfId="0" applyNumberFormat="1" applyFont="1" applyBorder="1" applyAlignment="1">
      <alignment horizontal="left"/>
    </xf>
    <xf numFmtId="0" fontId="31" fillId="0" borderId="10" xfId="0" applyFont="1" applyBorder="1" applyAlignment="1">
      <alignment horizontal="right"/>
    </xf>
    <xf numFmtId="3" fontId="32" fillId="0" borderId="84" xfId="0" applyNumberFormat="1" applyFont="1" applyBorder="1" applyAlignment="1">
      <alignment horizontal="left"/>
    </xf>
    <xf numFmtId="0" fontId="32" fillId="0" borderId="12" xfId="0" applyFont="1" applyBorder="1"/>
    <xf numFmtId="49" fontId="31" fillId="0" borderId="10" xfId="0" applyNumberFormat="1" applyFont="1" applyBorder="1" applyAlignment="1">
      <alignment horizontal="right"/>
    </xf>
    <xf numFmtId="0" fontId="31" fillId="0" borderId="11" xfId="0" applyFont="1" applyBorder="1"/>
    <xf numFmtId="0" fontId="32" fillId="0" borderId="85" xfId="0" applyFont="1" applyBorder="1"/>
    <xf numFmtId="0" fontId="20" fillId="0" borderId="12" xfId="0" applyFont="1" applyBorder="1"/>
    <xf numFmtId="0" fontId="20" fillId="0" borderId="13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left"/>
    </xf>
    <xf numFmtId="0" fontId="20" fillId="0" borderId="86" xfId="0" applyFont="1" applyBorder="1"/>
    <xf numFmtId="0" fontId="20" fillId="0" borderId="87" xfId="0" applyFont="1" applyBorder="1"/>
    <xf numFmtId="0" fontId="20" fillId="0" borderId="88" xfId="0" applyFont="1" applyBorder="1"/>
    <xf numFmtId="0" fontId="39" fillId="0" borderId="86" xfId="0" applyFont="1" applyBorder="1"/>
    <xf numFmtId="0" fontId="20" fillId="2" borderId="87" xfId="0" applyFont="1" applyFill="1" applyBorder="1" applyAlignment="1">
      <alignment horizontal="center"/>
    </xf>
    <xf numFmtId="0" fontId="41" fillId="0" borderId="87" xfId="0" applyFont="1" applyBorder="1" applyAlignment="1">
      <alignment horizontal="right"/>
    </xf>
    <xf numFmtId="169" fontId="20" fillId="4" borderId="87" xfId="0" applyNumberFormat="1" applyFont="1" applyFill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20" fillId="0" borderId="90" xfId="0" applyFont="1" applyBorder="1"/>
    <xf numFmtId="0" fontId="20" fillId="0" borderId="92" xfId="0" applyFont="1" applyBorder="1"/>
    <xf numFmtId="0" fontId="44" fillId="0" borderId="92" xfId="0" applyFont="1" applyBorder="1" applyAlignment="1">
      <alignment textRotation="90"/>
    </xf>
    <xf numFmtId="0" fontId="43" fillId="0" borderId="0" xfId="0" applyFont="1"/>
    <xf numFmtId="1" fontId="20" fillId="0" borderId="93" xfId="0" applyNumberFormat="1" applyFont="1" applyBorder="1" applyAlignment="1">
      <alignment horizontal="center"/>
    </xf>
    <xf numFmtId="0" fontId="43" fillId="0" borderId="0" xfId="0" applyFont="1" applyAlignment="1">
      <alignment horizontal="right"/>
    </xf>
    <xf numFmtId="0" fontId="20" fillId="0" borderId="93" xfId="0" applyFont="1" applyBorder="1" applyAlignment="1">
      <alignment horizontal="center"/>
    </xf>
    <xf numFmtId="0" fontId="45" fillId="0" borderId="0" xfId="0" applyFont="1"/>
    <xf numFmtId="0" fontId="46" fillId="0" borderId="94" xfId="0" applyFont="1" applyBorder="1" applyAlignment="1">
      <alignment textRotation="90"/>
    </xf>
    <xf numFmtId="0" fontId="44" fillId="0" borderId="93" xfId="0" applyFont="1" applyBorder="1" applyAlignment="1">
      <alignment textRotation="90"/>
    </xf>
    <xf numFmtId="0" fontId="47" fillId="0" borderId="93" xfId="0" applyFont="1" applyBorder="1" applyAlignment="1">
      <alignment horizontal="center"/>
    </xf>
    <xf numFmtId="0" fontId="20" fillId="0" borderId="94" xfId="0" applyFont="1" applyBorder="1"/>
    <xf numFmtId="0" fontId="20" fillId="0" borderId="93" xfId="0" applyFont="1" applyBorder="1"/>
    <xf numFmtId="0" fontId="44" fillId="0" borderId="93" xfId="0" applyFont="1" applyBorder="1" applyAlignment="1">
      <alignment horizontal="center" vertical="center"/>
    </xf>
    <xf numFmtId="0" fontId="20" fillId="0" borderId="95" xfId="0" applyFont="1" applyBorder="1"/>
    <xf numFmtId="0" fontId="15" fillId="0" borderId="56" xfId="0" applyFont="1" applyBorder="1" applyAlignment="1">
      <alignment horizontal="center" vertical="center" wrapText="1"/>
    </xf>
    <xf numFmtId="0" fontId="15" fillId="2" borderId="51" xfId="0" applyFont="1" applyFill="1" applyBorder="1" applyAlignment="1">
      <alignment vertical="center" wrapText="1"/>
    </xf>
    <xf numFmtId="0" fontId="15" fillId="0" borderId="102" xfId="0" applyFont="1" applyBorder="1" applyAlignment="1">
      <alignment vertical="center" wrapText="1"/>
    </xf>
    <xf numFmtId="0" fontId="15" fillId="0" borderId="56" xfId="0" applyFont="1" applyBorder="1" applyAlignment="1">
      <alignment vertical="center" wrapText="1"/>
    </xf>
    <xf numFmtId="0" fontId="15" fillId="0" borderId="84" xfId="0" applyFont="1" applyBorder="1" applyAlignment="1">
      <alignment vertical="center" wrapText="1"/>
    </xf>
    <xf numFmtId="0" fontId="8" fillId="0" borderId="75" xfId="0" applyFont="1" applyBorder="1"/>
    <xf numFmtId="0" fontId="8" fillId="0" borderId="75" xfId="0" applyFont="1" applyBorder="1" applyAlignment="1">
      <alignment wrapText="1"/>
    </xf>
    <xf numFmtId="0" fontId="30" fillId="0" borderId="75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/>
    </xf>
    <xf numFmtId="0" fontId="29" fillId="0" borderId="75" xfId="0" applyFont="1" applyBorder="1"/>
    <xf numFmtId="0" fontId="29" fillId="0" borderId="106" xfId="0" applyFont="1" applyBorder="1"/>
    <xf numFmtId="0" fontId="29" fillId="0" borderId="107" xfId="0" applyFont="1" applyBorder="1" applyAlignment="1">
      <alignment horizontal="left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3" fontId="49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1" fillId="6" borderId="0" xfId="0" applyFont="1" applyFill="1" applyAlignment="1">
      <alignment horizontal="center"/>
    </xf>
    <xf numFmtId="9" fontId="16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0" fillId="0" borderId="0" xfId="0"/>
    <xf numFmtId="3" fontId="0" fillId="0" borderId="0" xfId="0" applyNumberFormat="1"/>
    <xf numFmtId="14" fontId="0" fillId="0" borderId="0" xfId="0" applyNumberFormat="1"/>
    <xf numFmtId="0" fontId="53" fillId="0" borderId="0" xfId="1"/>
    <xf numFmtId="9" fontId="0" fillId="0" borderId="0" xfId="0" applyNumberFormat="1"/>
    <xf numFmtId="3" fontId="52" fillId="0" borderId="0" xfId="0" applyNumberFormat="1" applyFont="1" applyAlignment="1">
      <alignment horizontal="center"/>
    </xf>
    <xf numFmtId="14" fontId="52" fillId="0" borderId="0" xfId="0" applyNumberFormat="1" applyFont="1" applyAlignment="1">
      <alignment horizontal="center"/>
    </xf>
    <xf numFmtId="0" fontId="53" fillId="0" borderId="0" xfId="1" applyAlignment="1">
      <alignment horizontal="center"/>
    </xf>
    <xf numFmtId="0" fontId="0" fillId="0" borderId="0" xfId="0"/>
    <xf numFmtId="14" fontId="0" fillId="0" borderId="0" xfId="0" applyNumberFormat="1" applyAlignment="1"/>
    <xf numFmtId="4" fontId="0" fillId="0" borderId="0" xfId="0" applyNumberFormat="1"/>
    <xf numFmtId="0" fontId="55" fillId="7" borderId="108" xfId="0" applyFont="1" applyFill="1" applyBorder="1"/>
    <xf numFmtId="0" fontId="55" fillId="7" borderId="108" xfId="0" applyNumberFormat="1" applyFont="1" applyFill="1" applyBorder="1" applyAlignment="1"/>
    <xf numFmtId="14" fontId="55" fillId="7" borderId="108" xfId="0" applyNumberFormat="1" applyFont="1" applyFill="1" applyBorder="1"/>
    <xf numFmtId="20" fontId="55" fillId="7" borderId="108" xfId="0" applyNumberFormat="1" applyFont="1" applyFill="1" applyBorder="1"/>
    <xf numFmtId="14" fontId="5" fillId="0" borderId="0" xfId="0" applyNumberFormat="1" applyFont="1" applyAlignment="1">
      <alignment horizontal="center"/>
    </xf>
    <xf numFmtId="0" fontId="0" fillId="0" borderId="0" xfId="0"/>
    <xf numFmtId="0" fontId="2" fillId="0" borderId="14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5" xfId="0" applyFont="1" applyBorder="1"/>
    <xf numFmtId="0" fontId="2" fillId="0" borderId="13" xfId="0" applyFont="1" applyBorder="1"/>
    <xf numFmtId="0" fontId="54" fillId="0" borderId="3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0" fontId="4" fillId="0" borderId="10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3" fillId="0" borderId="10" xfId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3" fontId="5" fillId="0" borderId="25" xfId="0" applyNumberFormat="1" applyFont="1" applyBorder="1" applyAlignment="1">
      <alignment horizontal="center"/>
    </xf>
    <xf numFmtId="165" fontId="5" fillId="0" borderId="25" xfId="0" applyNumberFormat="1" applyFont="1" applyBorder="1" applyAlignment="1">
      <alignment horizontal="center"/>
    </xf>
    <xf numFmtId="0" fontId="2" fillId="0" borderId="29" xfId="0" applyFont="1" applyBorder="1"/>
    <xf numFmtId="0" fontId="5" fillId="0" borderId="6" xfId="0" applyFont="1" applyBorder="1" applyAlignment="1">
      <alignment horizontal="center"/>
    </xf>
    <xf numFmtId="0" fontId="2" fillId="0" borderId="17" xfId="0" applyFont="1" applyBorder="1"/>
    <xf numFmtId="0" fontId="7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3" xfId="0" applyFont="1" applyBorder="1"/>
    <xf numFmtId="0" fontId="5" fillId="0" borderId="31" xfId="0" applyFont="1" applyBorder="1" applyAlignment="1">
      <alignment horizontal="left"/>
    </xf>
    <xf numFmtId="0" fontId="2" fillId="0" borderId="32" xfId="0" applyFont="1" applyBorder="1"/>
    <xf numFmtId="0" fontId="2" fillId="0" borderId="33" xfId="0" applyFont="1" applyBorder="1"/>
    <xf numFmtId="0" fontId="5" fillId="0" borderId="31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0" fontId="2" fillId="0" borderId="35" xfId="0" applyFont="1" applyBorder="1"/>
    <xf numFmtId="0" fontId="10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3" fontId="5" fillId="0" borderId="19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 wrapText="1"/>
    </xf>
    <xf numFmtId="0" fontId="2" fillId="0" borderId="36" xfId="0" applyFont="1" applyBorder="1"/>
    <xf numFmtId="3" fontId="5" fillId="0" borderId="25" xfId="0" applyNumberFormat="1" applyFont="1" applyBorder="1" applyAlignment="1">
      <alignment horizontal="right"/>
    </xf>
    <xf numFmtId="0" fontId="5" fillId="0" borderId="38" xfId="0" applyFont="1" applyBorder="1" applyAlignment="1">
      <alignment horizontal="left"/>
    </xf>
    <xf numFmtId="0" fontId="2" fillId="0" borderId="39" xfId="0" applyFont="1" applyBorder="1"/>
    <xf numFmtId="0" fontId="2" fillId="0" borderId="40" xfId="0" applyFont="1" applyBorder="1"/>
    <xf numFmtId="3" fontId="5" fillId="0" borderId="31" xfId="0" applyNumberFormat="1" applyFont="1" applyBorder="1" applyAlignment="1">
      <alignment horizontal="right"/>
    </xf>
    <xf numFmtId="0" fontId="9" fillId="0" borderId="41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5" fillId="0" borderId="4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" fillId="0" borderId="51" xfId="0" applyFont="1" applyBorder="1" applyAlignment="1">
      <alignment horizontal="left" vertical="top"/>
    </xf>
    <xf numFmtId="0" fontId="2" fillId="0" borderId="52" xfId="0" applyFont="1" applyBorder="1"/>
    <xf numFmtId="0" fontId="2" fillId="0" borderId="53" xfId="0" applyFont="1" applyBorder="1"/>
    <xf numFmtId="0" fontId="13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14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53" fillId="0" borderId="11" xfId="1" applyBorder="1" applyAlignment="1">
      <alignment horizontal="center"/>
    </xf>
    <xf numFmtId="0" fontId="2" fillId="0" borderId="12" xfId="0" applyFont="1" applyBorder="1"/>
    <xf numFmtId="0" fontId="19" fillId="0" borderId="51" xfId="0" applyFont="1" applyBorder="1" applyAlignment="1">
      <alignment horizontal="center"/>
    </xf>
    <xf numFmtId="0" fontId="19" fillId="0" borderId="52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/>
    </xf>
    <xf numFmtId="0" fontId="19" fillId="0" borderId="52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0" fontId="18" fillId="0" borderId="52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8" fillId="0" borderId="51" xfId="0" applyFont="1" applyBorder="1" applyAlignment="1">
      <alignment horizontal="right"/>
    </xf>
    <xf numFmtId="0" fontId="5" fillId="0" borderId="54" xfId="0" applyFont="1" applyBorder="1" applyAlignment="1">
      <alignment horizontal="center" vertical="center"/>
    </xf>
    <xf numFmtId="0" fontId="2" fillId="0" borderId="57" xfId="0" applyFont="1" applyBorder="1"/>
    <xf numFmtId="0" fontId="5" fillId="0" borderId="51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2" fillId="0" borderId="11" xfId="0" applyFont="1" applyBorder="1"/>
    <xf numFmtId="1" fontId="5" fillId="0" borderId="51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19" fillId="0" borderId="52" xfId="0" applyFont="1" applyBorder="1" applyAlignment="1">
      <alignment horizontal="left" vertical="center" wrapText="1"/>
    </xf>
    <xf numFmtId="14" fontId="19" fillId="0" borderId="52" xfId="0" applyNumberFormat="1" applyFont="1" applyBorder="1" applyAlignment="1">
      <alignment horizontal="center"/>
    </xf>
    <xf numFmtId="0" fontId="19" fillId="0" borderId="52" xfId="0" applyFont="1" applyBorder="1" applyAlignment="1">
      <alignment horizontal="left"/>
    </xf>
    <xf numFmtId="0" fontId="19" fillId="0" borderId="52" xfId="0" applyFont="1" applyBorder="1" applyAlignment="1">
      <alignment horizontal="left" vertical="top"/>
    </xf>
    <xf numFmtId="0" fontId="18" fillId="0" borderId="51" xfId="0" applyFont="1" applyBorder="1" applyAlignment="1">
      <alignment horizontal="center"/>
    </xf>
    <xf numFmtId="167" fontId="5" fillId="0" borderId="54" xfId="0" applyNumberFormat="1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" fillId="0" borderId="64" xfId="0" applyFont="1" applyBorder="1"/>
    <xf numFmtId="0" fontId="21" fillId="0" borderId="61" xfId="0" applyFont="1" applyBorder="1" applyAlignment="1">
      <alignment horizontal="center" vertical="center"/>
    </xf>
    <xf numFmtId="0" fontId="2" fillId="0" borderId="62" xfId="0" applyFont="1" applyBorder="1"/>
    <xf numFmtId="0" fontId="2" fillId="0" borderId="63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50" xfId="0" applyFont="1" applyBorder="1"/>
    <xf numFmtId="0" fontId="5" fillId="0" borderId="0" xfId="0" applyFont="1" applyAlignment="1">
      <alignment horizontal="left"/>
    </xf>
    <xf numFmtId="0" fontId="5" fillId="0" borderId="26" xfId="0" applyFont="1" applyBorder="1" applyAlignment="1">
      <alignment horizontal="left"/>
    </xf>
    <xf numFmtId="0" fontId="2" fillId="0" borderId="67" xfId="0" applyFont="1" applyBorder="1"/>
    <xf numFmtId="165" fontId="5" fillId="0" borderId="68" xfId="0" applyNumberFormat="1" applyFont="1" applyBorder="1" applyAlignment="1">
      <alignment horizontal="center" vertical="center"/>
    </xf>
    <xf numFmtId="0" fontId="2" fillId="0" borderId="69" xfId="0" applyFont="1" applyBorder="1"/>
    <xf numFmtId="168" fontId="5" fillId="0" borderId="68" xfId="0" applyNumberFormat="1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8" fillId="0" borderId="8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5" xfId="0" applyFont="1" applyBorder="1" applyAlignment="1">
      <alignment horizontal="left" vertical="top"/>
    </xf>
    <xf numFmtId="0" fontId="2" fillId="0" borderId="81" xfId="0" applyFont="1" applyBorder="1"/>
    <xf numFmtId="0" fontId="2" fillId="0" borderId="82" xfId="0" applyFont="1" applyBorder="1"/>
    <xf numFmtId="0" fontId="2" fillId="0" borderId="83" xfId="0" applyFont="1" applyBorder="1"/>
    <xf numFmtId="0" fontId="5" fillId="0" borderId="39" xfId="0" applyFont="1" applyBorder="1" applyAlignment="1">
      <alignment horizontal="left"/>
    </xf>
    <xf numFmtId="0" fontId="2" fillId="0" borderId="71" xfId="0" applyFont="1" applyBorder="1"/>
    <xf numFmtId="0" fontId="5" fillId="0" borderId="72" xfId="0" applyFont="1" applyBorder="1" applyAlignment="1">
      <alignment horizontal="center"/>
    </xf>
    <xf numFmtId="0" fontId="2" fillId="0" borderId="73" xfId="0" applyFont="1" applyBorder="1"/>
    <xf numFmtId="0" fontId="2" fillId="0" borderId="74" xfId="0" applyFont="1" applyBorder="1"/>
    <xf numFmtId="0" fontId="18" fillId="0" borderId="77" xfId="0" applyFont="1" applyBorder="1" applyAlignment="1">
      <alignment horizontal="center" vertical="center"/>
    </xf>
    <xf numFmtId="0" fontId="5" fillId="0" borderId="77" xfId="0" applyFont="1" applyBorder="1" applyAlignment="1">
      <alignment horizontal="left"/>
    </xf>
    <xf numFmtId="0" fontId="5" fillId="0" borderId="77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/>
    </xf>
    <xf numFmtId="0" fontId="27" fillId="0" borderId="5" xfId="0" applyFont="1" applyBorder="1" applyAlignment="1">
      <alignment horizontal="left" vertical="center" wrapText="1"/>
    </xf>
    <xf numFmtId="0" fontId="53" fillId="0" borderId="12" xfId="1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9" fillId="0" borderId="54" xfId="0" applyFont="1" applyBorder="1" applyAlignment="1">
      <alignment vertical="center"/>
    </xf>
    <xf numFmtId="0" fontId="29" fillId="0" borderId="5" xfId="0" applyFont="1" applyBorder="1" applyAlignment="1">
      <alignment horizontal="left" vertical="center"/>
    </xf>
    <xf numFmtId="0" fontId="29" fillId="0" borderId="11" xfId="0" applyFont="1" applyBorder="1" applyAlignment="1">
      <alignment horizontal="left"/>
    </xf>
    <xf numFmtId="3" fontId="29" fillId="0" borderId="52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 vertical="top"/>
    </xf>
    <xf numFmtId="0" fontId="29" fillId="0" borderId="51" xfId="0" applyFont="1" applyBorder="1" applyAlignment="1">
      <alignment horizontal="center" wrapText="1"/>
    </xf>
    <xf numFmtId="0" fontId="29" fillId="0" borderId="5" xfId="0" applyFont="1" applyBorder="1" applyAlignment="1">
      <alignment horizontal="left"/>
    </xf>
    <xf numFmtId="0" fontId="30" fillId="0" borderId="51" xfId="0" applyFont="1" applyBorder="1" applyAlignment="1">
      <alignment horizontal="center" vertical="top"/>
    </xf>
    <xf numFmtId="0" fontId="30" fillId="0" borderId="51" xfId="0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top"/>
    </xf>
    <xf numFmtId="0" fontId="29" fillId="0" borderId="51" xfId="0" applyFont="1" applyBorder="1" applyAlignment="1">
      <alignment horizontal="center"/>
    </xf>
    <xf numFmtId="0" fontId="31" fillId="0" borderId="10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32" fillId="0" borderId="8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168" fontId="34" fillId="0" borderId="0" xfId="0" applyNumberFormat="1" applyFont="1" applyAlignment="1">
      <alignment horizontal="center"/>
    </xf>
    <xf numFmtId="0" fontId="20" fillId="3" borderId="0" xfId="0" applyFont="1" applyFill="1"/>
    <xf numFmtId="0" fontId="2" fillId="0" borderId="0" xfId="0" applyFont="1"/>
    <xf numFmtId="0" fontId="38" fillId="0" borderId="89" xfId="0" applyFont="1" applyBorder="1" applyAlignment="1">
      <alignment textRotation="90"/>
    </xf>
    <xf numFmtId="0" fontId="2" fillId="0" borderId="91" xfId="0" applyFont="1" applyBorder="1"/>
    <xf numFmtId="0" fontId="2" fillId="0" borderId="96" xfId="0" applyFont="1" applyBorder="1"/>
    <xf numFmtId="0" fontId="40" fillId="0" borderId="87" xfId="0" applyFont="1" applyBorder="1" applyAlignment="1">
      <alignment horizontal="center"/>
    </xf>
    <xf numFmtId="0" fontId="2" fillId="0" borderId="87" xfId="0" applyFont="1" applyBorder="1"/>
    <xf numFmtId="0" fontId="20" fillId="3" borderId="90" xfId="0" applyFont="1" applyFill="1" applyBorder="1"/>
    <xf numFmtId="0" fontId="2" fillId="0" borderId="90" xfId="0" applyFont="1" applyBorder="1"/>
    <xf numFmtId="0" fontId="42" fillId="0" borderId="91" xfId="0" applyFont="1" applyBorder="1" applyAlignment="1">
      <alignment textRotation="90"/>
    </xf>
    <xf numFmtId="0" fontId="33" fillId="0" borderId="92" xfId="0" applyFont="1" applyBorder="1" applyAlignment="1">
      <alignment textRotation="90"/>
    </xf>
    <xf numFmtId="0" fontId="2" fillId="0" borderId="92" xfId="0" applyFont="1" applyBorder="1"/>
    <xf numFmtId="0" fontId="20" fillId="0" borderId="92" xfId="0" applyFont="1" applyBorder="1" applyAlignment="1">
      <alignment textRotation="90"/>
    </xf>
    <xf numFmtId="0" fontId="43" fillId="0" borderId="90" xfId="0" applyFont="1" applyBorder="1" applyAlignment="1">
      <alignment horizontal="left"/>
    </xf>
    <xf numFmtId="0" fontId="20" fillId="0" borderId="93" xfId="0" applyFont="1" applyBorder="1" applyAlignment="1">
      <alignment horizontal="center"/>
    </xf>
    <xf numFmtId="0" fontId="2" fillId="0" borderId="93" xfId="0" applyFont="1" applyBorder="1"/>
    <xf numFmtId="0" fontId="33" fillId="0" borderId="91" xfId="0" applyFont="1" applyBorder="1" applyAlignment="1">
      <alignment horizontal="center" textRotation="90"/>
    </xf>
    <xf numFmtId="170" fontId="20" fillId="0" borderId="93" xfId="0" applyNumberFormat="1" applyFont="1" applyBorder="1" applyAlignment="1">
      <alignment horizontal="center"/>
    </xf>
    <xf numFmtId="0" fontId="43" fillId="0" borderId="90" xfId="0" applyFont="1" applyBorder="1"/>
    <xf numFmtId="9" fontId="20" fillId="0" borderId="93" xfId="0" applyNumberFormat="1" applyFont="1" applyBorder="1" applyAlignment="1">
      <alignment horizontal="center"/>
    </xf>
    <xf numFmtId="0" fontId="44" fillId="0" borderId="92" xfId="0" applyFont="1" applyBorder="1" applyAlignment="1">
      <alignment textRotation="90"/>
    </xf>
    <xf numFmtId="0" fontId="2" fillId="0" borderId="95" xfId="0" applyFont="1" applyBorder="1"/>
    <xf numFmtId="0" fontId="20" fillId="0" borderId="94" xfId="0" applyFont="1" applyBorder="1" applyAlignment="1">
      <alignment horizontal="center"/>
    </xf>
    <xf numFmtId="0" fontId="43" fillId="0" borderId="86" xfId="0" applyFont="1" applyBorder="1" applyAlignment="1">
      <alignment horizontal="center"/>
    </xf>
    <xf numFmtId="0" fontId="47" fillId="0" borderId="93" xfId="0" applyFont="1" applyBorder="1" applyAlignment="1">
      <alignment horizontal="center"/>
    </xf>
    <xf numFmtId="168" fontId="47" fillId="0" borderId="93" xfId="0" applyNumberFormat="1" applyFont="1" applyBorder="1" applyAlignment="1">
      <alignment horizontal="center"/>
    </xf>
    <xf numFmtId="0" fontId="48" fillId="5" borderId="0" xfId="0" applyFont="1" applyFill="1" applyAlignment="1">
      <alignment horizontal="center" vertical="center"/>
    </xf>
    <xf numFmtId="0" fontId="48" fillId="5" borderId="87" xfId="0" applyFont="1" applyFill="1" applyBorder="1" applyAlignment="1">
      <alignment horizontal="center" vertical="center"/>
    </xf>
    <xf numFmtId="0" fontId="2" fillId="0" borderId="88" xfId="0" applyFont="1" applyBorder="1"/>
    <xf numFmtId="0" fontId="44" fillId="0" borderId="93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" fillId="0" borderId="101" xfId="0" applyFont="1" applyBorder="1"/>
    <xf numFmtId="0" fontId="2" fillId="0" borderId="103" xfId="0" applyFont="1" applyBorder="1"/>
    <xf numFmtId="0" fontId="12" fillId="0" borderId="98" xfId="0" applyFont="1" applyBorder="1" applyAlignment="1">
      <alignment horizontal="center" vertical="center"/>
    </xf>
    <xf numFmtId="0" fontId="2" fillId="0" borderId="99" xfId="0" applyFont="1" applyBorder="1"/>
    <xf numFmtId="0" fontId="2" fillId="0" borderId="100" xfId="0" applyFont="1" applyBorder="1"/>
    <xf numFmtId="0" fontId="15" fillId="0" borderId="3" xfId="0" applyFont="1" applyBorder="1" applyAlignment="1">
      <alignment horizontal="center" vertical="center" wrapText="1"/>
    </xf>
    <xf numFmtId="0" fontId="2" fillId="0" borderId="85" xfId="0" applyFont="1" applyBorder="1"/>
    <xf numFmtId="0" fontId="5" fillId="0" borderId="51" xfId="0" applyFont="1" applyBorder="1" applyAlignment="1">
      <alignment horizontal="center" wrapText="1"/>
    </xf>
    <xf numFmtId="0" fontId="53" fillId="0" borderId="51" xfId="1" applyBorder="1" applyAlignment="1">
      <alignment horizontal="center"/>
    </xf>
    <xf numFmtId="165" fontId="5" fillId="0" borderId="51" xfId="0" applyNumberFormat="1" applyFont="1" applyBorder="1" applyAlignment="1">
      <alignment horizontal="center"/>
    </xf>
    <xf numFmtId="0" fontId="2" fillId="0" borderId="102" xfId="0" applyFont="1" applyBorder="1"/>
    <xf numFmtId="168" fontId="5" fillId="0" borderId="51" xfId="0" applyNumberFormat="1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29" fillId="0" borderId="16" xfId="0" applyFont="1" applyBorder="1" applyAlignment="1">
      <alignment horizontal="left" vertical="top"/>
    </xf>
    <xf numFmtId="0" fontId="2" fillId="0" borderId="46" xfId="0" applyFont="1" applyBorder="1"/>
    <xf numFmtId="0" fontId="2" fillId="0" borderId="104" xfId="0" applyFont="1" applyBorder="1"/>
    <xf numFmtId="0" fontId="2" fillId="0" borderId="105" xfId="0" applyFont="1" applyBorder="1"/>
    <xf numFmtId="0" fontId="2" fillId="0" borderId="47" xfId="0" applyFont="1" applyBorder="1"/>
    <xf numFmtId="0" fontId="20" fillId="0" borderId="51" xfId="0" applyFont="1" applyBorder="1" applyAlignment="1">
      <alignment horizontal="center" wrapText="1"/>
    </xf>
    <xf numFmtId="0" fontId="55" fillId="7" borderId="108" xfId="0" applyFont="1" applyFill="1" applyBorder="1" applyAlignment="1">
      <alignment horizontal="center"/>
    </xf>
    <xf numFmtId="0" fontId="55" fillId="7" borderId="108" xfId="0" applyFont="1" applyFill="1" applyBorder="1" applyAlignment="1">
      <alignment horizontal="center" vertical="center"/>
    </xf>
    <xf numFmtId="14" fontId="55" fillId="7" borderId="108" xfId="0" applyNumberFormat="1" applyFont="1" applyFill="1" applyBorder="1" applyAlignment="1">
      <alignment horizontal="center"/>
    </xf>
    <xf numFmtId="0" fontId="56" fillId="7" borderId="108" xfId="0" applyFont="1" applyFill="1" applyBorder="1" applyAlignment="1">
      <alignment horizontal="center"/>
    </xf>
    <xf numFmtId="164" fontId="55" fillId="7" borderId="108" xfId="0" applyNumberFormat="1" applyFont="1" applyFill="1" applyBorder="1" applyAlignment="1">
      <alignment horizontal="center"/>
    </xf>
    <xf numFmtId="164" fontId="57" fillId="7" borderId="108" xfId="0" applyNumberFormat="1" applyFont="1" applyFill="1" applyBorder="1" applyAlignment="1">
      <alignment horizontal="center"/>
    </xf>
    <xf numFmtId="0" fontId="57" fillId="7" borderId="108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17972</xdr:rowOff>
    </xdr:from>
    <xdr:to>
      <xdr:col>2</xdr:col>
      <xdr:colOff>736840</xdr:colOff>
      <xdr:row>8</xdr:row>
      <xdr:rowOff>161746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8A1692-F41B-0DF2-395A-2C274B518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215661"/>
          <a:ext cx="1500637" cy="15904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20054</xdr:colOff>
      <xdr:row>1</xdr:row>
      <xdr:rowOff>50132</xdr:rowOff>
    </xdr:from>
    <xdr:to>
      <xdr:col>3</xdr:col>
      <xdr:colOff>0</xdr:colOff>
      <xdr:row>8</xdr:row>
      <xdr:rowOff>170447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829282-C1CF-8A9F-10A7-600145590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028" y="250658"/>
          <a:ext cx="1503946" cy="160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58316</xdr:colOff>
      <xdr:row>3</xdr:row>
      <xdr:rowOff>38877</xdr:rowOff>
    </xdr:from>
    <xdr:to>
      <xdr:col>2</xdr:col>
      <xdr:colOff>2070229</xdr:colOff>
      <xdr:row>8</xdr:row>
      <xdr:rowOff>301301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57D8BE-A2C1-B3A5-D586-85A72971C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88" y="631760"/>
          <a:ext cx="2011913" cy="1273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3</xdr:row>
      <xdr:rowOff>28576</xdr:rowOff>
    </xdr:from>
    <xdr:to>
      <xdr:col>2</xdr:col>
      <xdr:colOff>1933576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6FD105-8165-2090-CB34-09E7BC31E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609601"/>
          <a:ext cx="1905000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20055</xdr:colOff>
      <xdr:row>2</xdr:row>
      <xdr:rowOff>30079</xdr:rowOff>
    </xdr:from>
    <xdr:to>
      <xdr:col>2</xdr:col>
      <xdr:colOff>2145633</xdr:colOff>
      <xdr:row>7</xdr:row>
      <xdr:rowOff>291692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1904F3-7266-3907-8EFA-318B5A199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55" y="431132"/>
          <a:ext cx="2125578" cy="15449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</xdr:colOff>
      <xdr:row>2</xdr:row>
      <xdr:rowOff>56030</xdr:rowOff>
    </xdr:from>
    <xdr:to>
      <xdr:col>3</xdr:col>
      <xdr:colOff>728382</xdr:colOff>
      <xdr:row>6</xdr:row>
      <xdr:rowOff>179294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CF106C-4939-7E8D-B555-65A0ABDFD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4" y="448236"/>
          <a:ext cx="1467971" cy="8964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409575</xdr:colOff>
      <xdr:row>1</xdr:row>
      <xdr:rowOff>0</xdr:rowOff>
    </xdr:from>
    <xdr:ext cx="342900" cy="2095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BDABCD9-5D17-4A96-A71D-02BA3AC17608}"/>
            </a:ext>
          </a:extLst>
        </xdr:cNvPr>
        <xdr:cNvSpPr txBox="1"/>
      </xdr:nvSpPr>
      <xdr:spPr>
        <a:xfrm>
          <a:off x="6296025" y="161925"/>
          <a:ext cx="34290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07</a:t>
          </a:r>
          <a:endParaRPr sz="1400"/>
        </a:p>
      </xdr:txBody>
    </xdr:sp>
    <xdr:clientData fLocksWithSheet="0"/>
  </xdr:oneCellAnchor>
  <xdr:oneCellAnchor>
    <xdr:from>
      <xdr:col>9</xdr:col>
      <xdr:colOff>409575</xdr:colOff>
      <xdr:row>19</xdr:row>
      <xdr:rowOff>0</xdr:rowOff>
    </xdr:from>
    <xdr:ext cx="342900" cy="20955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CA0536DE-18C2-4427-8992-D49B7BF98581}"/>
            </a:ext>
          </a:extLst>
        </xdr:cNvPr>
        <xdr:cNvSpPr txBox="1"/>
      </xdr:nvSpPr>
      <xdr:spPr>
        <a:xfrm>
          <a:off x="6296025" y="3590925"/>
          <a:ext cx="34290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07</a:t>
          </a:r>
          <a:endParaRPr sz="1400"/>
        </a:p>
      </xdr:txBody>
    </xdr:sp>
    <xdr:clientData fLocksWithSheet="0"/>
  </xdr:oneCellAnchor>
  <xdr:oneCellAnchor>
    <xdr:from>
      <xdr:col>9</xdr:col>
      <xdr:colOff>409575</xdr:colOff>
      <xdr:row>19</xdr:row>
      <xdr:rowOff>0</xdr:rowOff>
    </xdr:from>
    <xdr:ext cx="342900" cy="20955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45C28636-D17E-4FDF-A707-89CE48697999}"/>
            </a:ext>
          </a:extLst>
        </xdr:cNvPr>
        <xdr:cNvSpPr txBox="1"/>
      </xdr:nvSpPr>
      <xdr:spPr>
        <a:xfrm>
          <a:off x="6296025" y="3590925"/>
          <a:ext cx="34290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07</a:t>
          </a:r>
          <a:endParaRPr sz="1400"/>
        </a:p>
      </xdr:txBody>
    </xdr:sp>
    <xdr:clientData fLocksWithSheet="0"/>
  </xdr:oneCellAnchor>
  <xdr:oneCellAnchor>
    <xdr:from>
      <xdr:col>9</xdr:col>
      <xdr:colOff>409575</xdr:colOff>
      <xdr:row>19</xdr:row>
      <xdr:rowOff>0</xdr:rowOff>
    </xdr:from>
    <xdr:ext cx="342900" cy="209550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3413238D-2CAC-432A-A2BA-2B7C31232BD1}"/>
            </a:ext>
          </a:extLst>
        </xdr:cNvPr>
        <xdr:cNvSpPr txBox="1"/>
      </xdr:nvSpPr>
      <xdr:spPr>
        <a:xfrm>
          <a:off x="6296025" y="3590925"/>
          <a:ext cx="34290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07</a:t>
          </a:r>
          <a:endParaRPr sz="1400"/>
        </a:p>
      </xdr:txBody>
    </xdr:sp>
    <xdr:clientData fLocksWithSheet="0"/>
  </xdr:oneCellAnchor>
  <xdr:oneCellAnchor>
    <xdr:from>
      <xdr:col>3</xdr:col>
      <xdr:colOff>95250</xdr:colOff>
      <xdr:row>1</xdr:row>
      <xdr:rowOff>9525</xdr:rowOff>
    </xdr:from>
    <xdr:ext cx="733425" cy="390525"/>
    <xdr:pic>
      <xdr:nvPicPr>
        <xdr:cNvPr id="6" name="image2.png" descr="http://valledupar.com/festival/casas/logoBancolombia.gif">
          <a:extLst>
            <a:ext uri="{FF2B5EF4-FFF2-40B4-BE49-F238E27FC236}">
              <a16:creationId xmlns:a16="http://schemas.microsoft.com/office/drawing/2014/main" id="{D607DB2E-6770-44CC-A4FA-D68C7F5F62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8325" y="171450"/>
          <a:ext cx="733425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19</xdr:row>
      <xdr:rowOff>0</xdr:rowOff>
    </xdr:from>
    <xdr:ext cx="733425" cy="390525"/>
    <xdr:pic>
      <xdr:nvPicPr>
        <xdr:cNvPr id="7" name="image2.png" descr="http://valledupar.com/festival/casas/logoBancolombia.gif">
          <a:extLst>
            <a:ext uri="{FF2B5EF4-FFF2-40B4-BE49-F238E27FC236}">
              <a16:creationId xmlns:a16="http://schemas.microsoft.com/office/drawing/2014/main" id="{C0B5B134-3BBA-4396-A7C8-EEB6E0D906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8325" y="3590925"/>
          <a:ext cx="733425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19</xdr:row>
      <xdr:rowOff>0</xdr:rowOff>
    </xdr:from>
    <xdr:ext cx="733425" cy="390525"/>
    <xdr:pic>
      <xdr:nvPicPr>
        <xdr:cNvPr id="8" name="image2.png" descr="http://valledupar.com/festival/casas/logoBancolombia.gif">
          <a:extLst>
            <a:ext uri="{FF2B5EF4-FFF2-40B4-BE49-F238E27FC236}">
              <a16:creationId xmlns:a16="http://schemas.microsoft.com/office/drawing/2014/main" id="{639F17EA-82AA-4B13-8ACD-0FCC7D421D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8325" y="3590925"/>
          <a:ext cx="733425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19</xdr:row>
      <xdr:rowOff>0</xdr:rowOff>
    </xdr:from>
    <xdr:ext cx="733425" cy="390525"/>
    <xdr:pic>
      <xdr:nvPicPr>
        <xdr:cNvPr id="9" name="image2.png" descr="http://valledupar.com/festival/casas/logoBancolombia.gif">
          <a:extLst>
            <a:ext uri="{FF2B5EF4-FFF2-40B4-BE49-F238E27FC236}">
              <a16:creationId xmlns:a16="http://schemas.microsoft.com/office/drawing/2014/main" id="{C26737CC-F922-42CF-9725-212264A31F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8325" y="3590925"/>
          <a:ext cx="733425" cy="39052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19050</xdr:rowOff>
    </xdr:from>
    <xdr:to>
      <xdr:col>1</xdr:col>
      <xdr:colOff>1771650</xdr:colOff>
      <xdr:row>6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77D9CE-9CA7-52D2-FA39-B89B1752F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19100"/>
          <a:ext cx="1743075" cy="1228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PORTEAREPASLAEXQUISITA@GMAIL.COM" TargetMode="External"/><Relationship Id="rId1" Type="http://schemas.openxmlformats.org/officeDocument/2006/relationships/hyperlink" Target="mailto:ArepaslaExquisita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SOPORTEAREPASLAEXQUISITA@GMAIL.COM" TargetMode="External"/><Relationship Id="rId1" Type="http://schemas.openxmlformats.org/officeDocument/2006/relationships/hyperlink" Target="mailto:ArepaslaExquisitasoporte@gmail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repaslaExquistasoporte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ArepaslaExquisitasoporte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mailto:ARA@GMAIL.COM" TargetMode="External"/><Relationship Id="rId1" Type="http://schemas.openxmlformats.org/officeDocument/2006/relationships/hyperlink" Target="mailto:ArepaslaExquisitasoporte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ArepaslaExquisit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AREPASLAEXQUISITA@GMAIL.COM" TargetMode="External"/><Relationship Id="rId2" Type="http://schemas.openxmlformats.org/officeDocument/2006/relationships/hyperlink" Target="mailto:ANDREAPEREZ@GMAIL.COM" TargetMode="External"/><Relationship Id="rId1" Type="http://schemas.openxmlformats.org/officeDocument/2006/relationships/hyperlink" Target="mailto:ArepaslaExquisitasoporte@gmail.com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7527-F603-4570-86CD-952E447BD8D5}">
  <dimension ref="B1:BF39"/>
  <sheetViews>
    <sheetView topLeftCell="AA1" zoomScale="106" zoomScaleNormal="106" workbookViewId="0">
      <selection activeCell="AG7" sqref="AG7"/>
    </sheetView>
  </sheetViews>
  <sheetFormatPr baseColWidth="10" defaultRowHeight="14.4"/>
  <cols>
    <col min="6" max="6" width="26.6640625" customWidth="1"/>
    <col min="8" max="8" width="16.88671875" customWidth="1"/>
    <col min="28" max="28" width="16.6640625" customWidth="1"/>
    <col min="29" max="29" width="18.6640625" customWidth="1"/>
    <col min="30" max="30" width="23.6640625" customWidth="1"/>
    <col min="31" max="31" width="21.33203125" customWidth="1"/>
    <col min="32" max="32" width="22.5546875" customWidth="1"/>
    <col min="33" max="33" width="21.109375" customWidth="1"/>
    <col min="35" max="35" width="40.6640625" customWidth="1"/>
    <col min="36" max="36" width="16.33203125" customWidth="1"/>
    <col min="37" max="37" width="25.33203125" customWidth="1"/>
    <col min="38" max="38" width="16.33203125" customWidth="1"/>
    <col min="39" max="39" width="21.33203125" customWidth="1"/>
    <col min="40" max="40" width="16.44140625" customWidth="1"/>
    <col min="41" max="41" width="16" customWidth="1"/>
    <col min="42" max="42" width="18" customWidth="1"/>
    <col min="43" max="43" width="16.6640625" customWidth="1"/>
    <col min="44" max="44" width="18.5546875" customWidth="1"/>
    <col min="45" max="45" width="15.109375" customWidth="1"/>
    <col min="46" max="46" width="19" customWidth="1"/>
    <col min="47" max="47" width="20.88671875" customWidth="1"/>
    <col min="48" max="48" width="20.6640625" customWidth="1"/>
    <col min="49" max="49" width="53" customWidth="1"/>
    <col min="50" max="50" width="24.33203125" customWidth="1"/>
    <col min="51" max="51" width="23.88671875" customWidth="1"/>
    <col min="52" max="52" width="22.109375" customWidth="1"/>
    <col min="53" max="53" width="45.5546875" customWidth="1"/>
    <col min="54" max="54" width="19" customWidth="1"/>
    <col min="56" max="56" width="16.88671875" customWidth="1"/>
    <col min="57" max="57" width="15.109375" customWidth="1"/>
    <col min="58" max="58" width="14.33203125" customWidth="1"/>
  </cols>
  <sheetData>
    <row r="1" spans="2:58" ht="15" thickBot="1">
      <c r="AA1" s="188" t="s">
        <v>123</v>
      </c>
      <c r="AB1" s="188" t="s">
        <v>124</v>
      </c>
      <c r="AC1" s="188" t="s">
        <v>125</v>
      </c>
      <c r="AD1" s="188" t="s">
        <v>126</v>
      </c>
      <c r="AE1" s="188" t="s">
        <v>112</v>
      </c>
      <c r="AF1" s="188" t="s">
        <v>127</v>
      </c>
      <c r="AG1" s="188" t="s">
        <v>128</v>
      </c>
      <c r="AH1" s="188" t="s">
        <v>129</v>
      </c>
      <c r="AI1" s="188" t="s">
        <v>130</v>
      </c>
      <c r="AJ1" s="188" t="s">
        <v>75</v>
      </c>
      <c r="AK1" s="188" t="s">
        <v>131</v>
      </c>
      <c r="AL1" s="188" t="s">
        <v>13</v>
      </c>
      <c r="AM1" s="188" t="s">
        <v>132</v>
      </c>
      <c r="AN1" s="189" t="s">
        <v>15</v>
      </c>
      <c r="AO1" s="189" t="s">
        <v>133</v>
      </c>
      <c r="AP1" s="189" t="s">
        <v>134</v>
      </c>
      <c r="AQ1" s="189" t="s">
        <v>13</v>
      </c>
      <c r="AR1" s="189" t="s">
        <v>132</v>
      </c>
      <c r="AS1" s="189" t="s">
        <v>15</v>
      </c>
      <c r="AT1" s="189" t="s">
        <v>133</v>
      </c>
      <c r="AU1" s="189" t="s">
        <v>134</v>
      </c>
      <c r="AV1" s="189" t="s">
        <v>13</v>
      </c>
      <c r="AW1" s="189" t="s">
        <v>132</v>
      </c>
      <c r="AX1" s="189" t="s">
        <v>15</v>
      </c>
      <c r="AY1" s="189" t="s">
        <v>133</v>
      </c>
      <c r="AZ1" s="189" t="s">
        <v>134</v>
      </c>
      <c r="BA1" s="188" t="s">
        <v>135</v>
      </c>
      <c r="BB1" s="189" t="s">
        <v>136</v>
      </c>
      <c r="BC1" s="189" t="s">
        <v>137</v>
      </c>
      <c r="BD1" s="189" t="s">
        <v>138</v>
      </c>
      <c r="BE1" s="189" t="s">
        <v>22</v>
      </c>
      <c r="BF1" s="189" t="s">
        <v>139</v>
      </c>
    </row>
    <row r="2" spans="2:58" ht="15.6">
      <c r="B2" s="217" t="s">
        <v>0</v>
      </c>
      <c r="C2" s="218"/>
      <c r="D2" s="223" t="s">
        <v>287</v>
      </c>
      <c r="E2" s="224"/>
      <c r="F2" s="218"/>
      <c r="G2" s="225" t="s">
        <v>1</v>
      </c>
      <c r="H2" s="226"/>
      <c r="I2" s="226"/>
      <c r="J2" s="227"/>
      <c r="AA2">
        <v>1</v>
      </c>
      <c r="AB2">
        <v>2</v>
      </c>
      <c r="AC2">
        <v>3</v>
      </c>
      <c r="AD2" s="1">
        <v>4</v>
      </c>
      <c r="AE2" s="1">
        <v>5</v>
      </c>
      <c r="AF2" s="1">
        <v>6</v>
      </c>
      <c r="AG2" s="1">
        <v>7</v>
      </c>
      <c r="AH2" s="1">
        <v>8</v>
      </c>
      <c r="AI2" s="1">
        <v>9</v>
      </c>
      <c r="AJ2" s="1">
        <v>10</v>
      </c>
      <c r="AK2" s="1">
        <v>11</v>
      </c>
      <c r="AL2" s="1">
        <v>12</v>
      </c>
      <c r="AM2" s="1">
        <v>13</v>
      </c>
      <c r="AN2" s="1">
        <v>14</v>
      </c>
      <c r="AO2" s="1">
        <v>15</v>
      </c>
      <c r="AP2" s="1">
        <v>16</v>
      </c>
      <c r="AQ2" s="1">
        <v>17</v>
      </c>
      <c r="AR2" s="1">
        <v>18</v>
      </c>
      <c r="AS2" s="1">
        <v>19</v>
      </c>
      <c r="AT2" s="1">
        <v>20</v>
      </c>
      <c r="AU2" s="1">
        <v>21</v>
      </c>
      <c r="AV2" s="1">
        <v>22</v>
      </c>
      <c r="AW2" s="1">
        <v>23</v>
      </c>
      <c r="AX2" s="1">
        <v>24</v>
      </c>
      <c r="AY2" s="1">
        <v>25</v>
      </c>
      <c r="AZ2" s="1">
        <v>26</v>
      </c>
      <c r="BA2" s="1">
        <v>27</v>
      </c>
      <c r="BB2" s="1">
        <v>28</v>
      </c>
      <c r="BC2" s="1">
        <v>29</v>
      </c>
      <c r="BD2" s="1">
        <v>30</v>
      </c>
      <c r="BE2" s="1">
        <v>31</v>
      </c>
      <c r="BF2" s="1">
        <v>32</v>
      </c>
    </row>
    <row r="3" spans="2:58" ht="15.6">
      <c r="B3" s="219"/>
      <c r="C3" s="220"/>
      <c r="D3" s="229" t="s">
        <v>209</v>
      </c>
      <c r="E3" s="215"/>
      <c r="F3" s="215"/>
      <c r="G3" s="228"/>
      <c r="H3" s="215"/>
      <c r="I3" s="215"/>
      <c r="J3" s="220"/>
      <c r="AA3">
        <v>2</v>
      </c>
      <c r="AB3" s="201">
        <v>45337</v>
      </c>
      <c r="AC3" s="201">
        <v>45337</v>
      </c>
      <c r="AD3" t="s">
        <v>225</v>
      </c>
      <c r="AE3" t="s">
        <v>226</v>
      </c>
      <c r="AF3">
        <v>56987234</v>
      </c>
      <c r="AG3">
        <v>4518244</v>
      </c>
      <c r="AH3" t="s">
        <v>227</v>
      </c>
      <c r="AI3" t="s">
        <v>228</v>
      </c>
      <c r="AJ3" t="s">
        <v>229</v>
      </c>
      <c r="AK3" t="s">
        <v>230</v>
      </c>
      <c r="AL3">
        <v>1232</v>
      </c>
      <c r="AM3" t="s">
        <v>231</v>
      </c>
      <c r="AN3">
        <v>29</v>
      </c>
      <c r="AO3" s="200">
        <v>2500</v>
      </c>
      <c r="AP3">
        <f>AN3*AO3</f>
        <v>72500</v>
      </c>
      <c r="AQ3">
        <v>920</v>
      </c>
      <c r="AR3" t="s">
        <v>232</v>
      </c>
      <c r="AS3">
        <v>12</v>
      </c>
      <c r="AT3" s="200">
        <v>6300</v>
      </c>
      <c r="AU3">
        <f>AS3*AT3</f>
        <v>75600</v>
      </c>
      <c r="AV3" s="200">
        <v>1034</v>
      </c>
      <c r="AX3" s="200"/>
      <c r="AY3" s="200"/>
      <c r="AZ3">
        <v>0</v>
      </c>
      <c r="BA3" t="s">
        <v>278</v>
      </c>
      <c r="BB3">
        <f>AP3+AU3+AZ3</f>
        <v>148100</v>
      </c>
      <c r="BC3">
        <f>BB3*0.19</f>
        <v>28139</v>
      </c>
      <c r="BD3">
        <f>BB3*0.025</f>
        <v>3702.5</v>
      </c>
      <c r="BE3">
        <f>BB3*0.01104</f>
        <v>1635.0239999999999</v>
      </c>
      <c r="BF3">
        <f>BB3+BC3+BD3+BE3</f>
        <v>181576.524</v>
      </c>
    </row>
    <row r="4" spans="2:58" ht="22.8">
      <c r="B4" s="219"/>
      <c r="C4" s="220"/>
      <c r="D4" s="230" t="s">
        <v>210</v>
      </c>
      <c r="E4" s="215"/>
      <c r="F4" s="215"/>
      <c r="G4" s="2"/>
      <c r="H4" s="3" t="s">
        <v>2</v>
      </c>
      <c r="I4" s="4">
        <v>9</v>
      </c>
      <c r="J4" s="5"/>
      <c r="AA4">
        <v>9</v>
      </c>
      <c r="AB4" s="201">
        <v>45366</v>
      </c>
      <c r="AC4" s="201">
        <v>45366</v>
      </c>
      <c r="AD4" t="s">
        <v>286</v>
      </c>
      <c r="AE4" t="s">
        <v>274</v>
      </c>
      <c r="AF4" t="s">
        <v>209</v>
      </c>
      <c r="AG4">
        <v>3213652025</v>
      </c>
      <c r="AH4" t="s">
        <v>227</v>
      </c>
      <c r="AI4" s="202" t="s">
        <v>275</v>
      </c>
      <c r="AJ4" t="s">
        <v>229</v>
      </c>
      <c r="AK4" t="s">
        <v>276</v>
      </c>
      <c r="AM4" t="s">
        <v>277</v>
      </c>
      <c r="AN4">
        <v>8</v>
      </c>
      <c r="AO4">
        <v>8500</v>
      </c>
      <c r="AP4">
        <f>AN4*AO4</f>
        <v>68000</v>
      </c>
      <c r="AU4">
        <f>AS4*AT4</f>
        <v>0</v>
      </c>
      <c r="AZ4">
        <f>AX4*AY4</f>
        <v>0</v>
      </c>
      <c r="BA4" t="s">
        <v>279</v>
      </c>
      <c r="BB4">
        <f>AP4+AU4+AZ4</f>
        <v>68000</v>
      </c>
      <c r="BC4">
        <f>BB4*0.19</f>
        <v>12920</v>
      </c>
      <c r="BD4">
        <f>BB4*0.025</f>
        <v>1700</v>
      </c>
      <c r="BE4">
        <f>BB4*0.01104</f>
        <v>750.71999999999991</v>
      </c>
      <c r="BF4">
        <f>BB4+BC4+BD4+BE4</f>
        <v>83370.720000000001</v>
      </c>
    </row>
    <row r="5" spans="2:58">
      <c r="B5" s="219"/>
      <c r="C5" s="220"/>
      <c r="D5" s="231">
        <v>3213652025</v>
      </c>
      <c r="E5" s="215"/>
      <c r="F5" s="215"/>
      <c r="G5" s="6"/>
      <c r="H5" s="6"/>
      <c r="I5" s="6"/>
      <c r="J5" s="7"/>
      <c r="AP5">
        <f>AN5*AO5</f>
        <v>0</v>
      </c>
      <c r="AU5">
        <f>AS5*AT5</f>
        <v>0</v>
      </c>
      <c r="AZ5">
        <f>AX5*AY5</f>
        <v>0</v>
      </c>
      <c r="BB5" s="199">
        <f t="shared" ref="BB5:BB8" si="0">AP5+AU5+AZ5</f>
        <v>0</v>
      </c>
      <c r="BC5" s="199">
        <f t="shared" ref="BC5:BC19" si="1">BB5*0.19</f>
        <v>0</v>
      </c>
      <c r="BD5" s="199">
        <f t="shared" ref="BD5:BD8" si="2">BB5*0.025</f>
        <v>0</v>
      </c>
      <c r="BE5" s="199">
        <f t="shared" ref="BE5:BE8" si="3">BB5*0.01104</f>
        <v>0</v>
      </c>
      <c r="BF5" s="199">
        <f t="shared" ref="BF5:BF8" si="4">BB5+BC5+BD5+BE5</f>
        <v>0</v>
      </c>
    </row>
    <row r="6" spans="2:58">
      <c r="B6" s="219"/>
      <c r="C6" s="220"/>
      <c r="D6" s="232" t="s">
        <v>211</v>
      </c>
      <c r="E6" s="215"/>
      <c r="F6" s="215"/>
      <c r="G6" s="6"/>
      <c r="H6" s="6"/>
      <c r="I6" s="6"/>
      <c r="J6" s="7"/>
      <c r="AP6">
        <f>AN6*AO6</f>
        <v>0</v>
      </c>
      <c r="AU6" s="199">
        <f t="shared" ref="AU6:AU11" si="5">AS6*AT6</f>
        <v>0</v>
      </c>
      <c r="AZ6" s="199">
        <f t="shared" ref="AZ6:AZ19" si="6">AX6*AY6</f>
        <v>0</v>
      </c>
      <c r="BB6" s="199">
        <f t="shared" si="0"/>
        <v>0</v>
      </c>
      <c r="BC6" s="199">
        <f t="shared" si="1"/>
        <v>0</v>
      </c>
      <c r="BD6" s="199">
        <f t="shared" si="2"/>
        <v>0</v>
      </c>
      <c r="BE6" s="199">
        <f t="shared" si="3"/>
        <v>0</v>
      </c>
      <c r="BF6" s="199">
        <f t="shared" si="4"/>
        <v>0</v>
      </c>
    </row>
    <row r="7" spans="2:58">
      <c r="B7" s="219"/>
      <c r="C7" s="220"/>
      <c r="D7" s="233"/>
      <c r="E7" s="215"/>
      <c r="F7" s="215"/>
      <c r="G7" s="234"/>
      <c r="H7" s="215"/>
      <c r="I7" s="235"/>
      <c r="J7" s="216"/>
      <c r="AP7" s="199">
        <f t="shared" ref="AP7:AP16" si="7">AN7*AO7</f>
        <v>0</v>
      </c>
      <c r="AU7" s="199">
        <f t="shared" si="5"/>
        <v>0</v>
      </c>
      <c r="AZ7" s="199">
        <f t="shared" si="6"/>
        <v>0</v>
      </c>
      <c r="BB7" s="199">
        <f t="shared" si="0"/>
        <v>0</v>
      </c>
      <c r="BC7" s="199">
        <f t="shared" si="1"/>
        <v>0</v>
      </c>
      <c r="BD7" s="199">
        <f t="shared" si="2"/>
        <v>0</v>
      </c>
      <c r="BE7" s="199">
        <f t="shared" si="3"/>
        <v>0</v>
      </c>
      <c r="BF7" s="199">
        <f t="shared" si="4"/>
        <v>0</v>
      </c>
    </row>
    <row r="8" spans="2:58">
      <c r="B8" s="219"/>
      <c r="C8" s="220"/>
      <c r="D8" s="236"/>
      <c r="E8" s="215"/>
      <c r="F8" s="215"/>
      <c r="G8" s="215"/>
      <c r="H8" s="215"/>
      <c r="I8" s="215"/>
      <c r="J8" s="216"/>
      <c r="AP8" s="199">
        <f t="shared" si="7"/>
        <v>0</v>
      </c>
      <c r="AU8" s="199">
        <f t="shared" si="5"/>
        <v>0</v>
      </c>
      <c r="AZ8" s="199">
        <f t="shared" si="6"/>
        <v>0</v>
      </c>
      <c r="BB8" s="199">
        <f t="shared" si="0"/>
        <v>0</v>
      </c>
      <c r="BC8" s="199">
        <f t="shared" si="1"/>
        <v>0</v>
      </c>
      <c r="BD8" s="199">
        <f t="shared" si="2"/>
        <v>0</v>
      </c>
      <c r="BE8" s="199">
        <f t="shared" si="3"/>
        <v>0</v>
      </c>
      <c r="BF8" s="199">
        <f t="shared" si="4"/>
        <v>0</v>
      </c>
    </row>
    <row r="9" spans="2:58">
      <c r="B9" s="221"/>
      <c r="C9" s="222"/>
      <c r="D9" s="236"/>
      <c r="E9" s="215"/>
      <c r="F9" s="215"/>
      <c r="G9" s="234"/>
      <c r="H9" s="215"/>
      <c r="I9" s="237"/>
      <c r="J9" s="216"/>
      <c r="AP9" s="199">
        <f t="shared" si="7"/>
        <v>0</v>
      </c>
      <c r="AU9" s="199">
        <f t="shared" si="5"/>
        <v>0</v>
      </c>
      <c r="AZ9" s="199">
        <f t="shared" si="6"/>
        <v>0</v>
      </c>
      <c r="BB9" s="199">
        <f>AP9+AU9+AZ9</f>
        <v>0</v>
      </c>
      <c r="BC9" s="199">
        <f>BB9*0.19</f>
        <v>0</v>
      </c>
      <c r="BD9" s="199">
        <f>BB9*0.025</f>
        <v>0</v>
      </c>
      <c r="BE9" s="199">
        <f>BB9*0.01104</f>
        <v>0</v>
      </c>
      <c r="BF9" s="199">
        <f>BB9+BC9+BD9+BE9</f>
        <v>0</v>
      </c>
    </row>
    <row r="10" spans="2:58">
      <c r="B10" s="8"/>
      <c r="C10" s="9"/>
      <c r="D10" s="9"/>
      <c r="E10" s="9"/>
      <c r="F10" s="10" t="s">
        <v>3</v>
      </c>
      <c r="G10" s="214">
        <f>VLOOKUP(I4,COMPRA.,2)</f>
        <v>45366</v>
      </c>
      <c r="H10" s="215"/>
      <c r="I10" s="215"/>
      <c r="J10" s="216"/>
      <c r="AP10" s="199">
        <f t="shared" si="7"/>
        <v>0</v>
      </c>
      <c r="AU10" s="199">
        <f t="shared" si="5"/>
        <v>0</v>
      </c>
      <c r="AZ10" s="199">
        <f t="shared" si="6"/>
        <v>0</v>
      </c>
      <c r="BB10" s="199">
        <f t="shared" ref="BB10:BB13" si="8">AP10+AU10+AZ10</f>
        <v>0</v>
      </c>
      <c r="BC10" s="199">
        <f t="shared" si="1"/>
        <v>0</v>
      </c>
      <c r="BD10" s="199">
        <f t="shared" ref="BD10:BD13" si="9">BB10*0.025</f>
        <v>0</v>
      </c>
      <c r="BE10" s="199">
        <f t="shared" ref="BE10:BE13" si="10">BB10*0.01104</f>
        <v>0</v>
      </c>
      <c r="BF10" s="199">
        <f t="shared" ref="BF10:BF13" si="11">BB10+BC10+BD10+BE10</f>
        <v>0</v>
      </c>
    </row>
    <row r="11" spans="2:58">
      <c r="B11" s="8"/>
      <c r="C11" s="9"/>
      <c r="D11" s="9"/>
      <c r="E11" s="9"/>
      <c r="F11" s="10" t="s">
        <v>4</v>
      </c>
      <c r="G11" s="214">
        <f>VLOOKUP(I4,COMPRA.,3)</f>
        <v>45366</v>
      </c>
      <c r="H11" s="215"/>
      <c r="I11" s="215"/>
      <c r="J11" s="216"/>
      <c r="AP11" s="199">
        <f t="shared" si="7"/>
        <v>0</v>
      </c>
      <c r="AU11" s="199">
        <f t="shared" si="5"/>
        <v>0</v>
      </c>
      <c r="AZ11" s="199">
        <f t="shared" si="6"/>
        <v>0</v>
      </c>
      <c r="BB11" s="199">
        <f t="shared" si="8"/>
        <v>0</v>
      </c>
      <c r="BC11" s="199">
        <f t="shared" si="1"/>
        <v>0</v>
      </c>
      <c r="BD11" s="199">
        <f t="shared" si="9"/>
        <v>0</v>
      </c>
      <c r="BE11" s="199">
        <f t="shared" si="10"/>
        <v>0</v>
      </c>
      <c r="BF11" s="199">
        <f t="shared" si="11"/>
        <v>0</v>
      </c>
    </row>
    <row r="12" spans="2:58">
      <c r="B12" s="8"/>
      <c r="C12" s="9"/>
      <c r="D12" s="9"/>
      <c r="E12" s="9"/>
      <c r="F12" s="9"/>
      <c r="G12" s="9"/>
      <c r="H12" s="9"/>
      <c r="I12" s="9"/>
      <c r="J12" s="11"/>
      <c r="AP12" s="199">
        <f t="shared" si="7"/>
        <v>0</v>
      </c>
      <c r="AU12" s="199">
        <f>AS12*AT12</f>
        <v>0</v>
      </c>
      <c r="AZ12" s="199">
        <f t="shared" si="6"/>
        <v>0</v>
      </c>
      <c r="BB12" s="199">
        <f t="shared" si="8"/>
        <v>0</v>
      </c>
      <c r="BC12" s="199">
        <f t="shared" si="1"/>
        <v>0</v>
      </c>
      <c r="BD12" s="199">
        <f t="shared" si="9"/>
        <v>0</v>
      </c>
      <c r="BE12" s="199">
        <f t="shared" si="10"/>
        <v>0</v>
      </c>
      <c r="BF12" s="199">
        <f t="shared" si="11"/>
        <v>0</v>
      </c>
    </row>
    <row r="13" spans="2:58">
      <c r="B13" s="12" t="s">
        <v>5</v>
      </c>
      <c r="C13" s="244" t="str">
        <f>VLOOKUP(I4,COMPRA.,4)</f>
        <v>AREPAS LA EXQUISITA SAS</v>
      </c>
      <c r="D13" s="226"/>
      <c r="E13" s="226"/>
      <c r="F13" s="13" t="s">
        <v>6</v>
      </c>
      <c r="G13" s="244" t="str">
        <f>VLOOKUP(I4,COMPRA.,5)</f>
        <v>CALLE 38C 73A 78SUR</v>
      </c>
      <c r="H13" s="226"/>
      <c r="I13" s="226"/>
      <c r="J13" s="245"/>
      <c r="AP13" s="199">
        <f t="shared" si="7"/>
        <v>0</v>
      </c>
      <c r="AU13" s="199">
        <f>AS13*AT13</f>
        <v>0</v>
      </c>
      <c r="AZ13" s="199">
        <f t="shared" si="6"/>
        <v>0</v>
      </c>
      <c r="BB13" s="199">
        <f t="shared" si="8"/>
        <v>0</v>
      </c>
      <c r="BC13" s="199">
        <f t="shared" si="1"/>
        <v>0</v>
      </c>
      <c r="BD13" s="199">
        <f t="shared" si="9"/>
        <v>0</v>
      </c>
      <c r="BE13" s="199">
        <f t="shared" si="10"/>
        <v>0</v>
      </c>
      <c r="BF13" s="199">
        <f t="shared" si="11"/>
        <v>0</v>
      </c>
    </row>
    <row r="14" spans="2:58">
      <c r="B14" s="8" t="s">
        <v>7</v>
      </c>
      <c r="C14" s="237" t="str">
        <f>VLOOKUP(I4,COMPRA.,6)</f>
        <v>1121846020-9</v>
      </c>
      <c r="D14" s="215"/>
      <c r="E14" s="215"/>
      <c r="F14" s="10" t="s">
        <v>8</v>
      </c>
      <c r="G14" s="237">
        <f>VLOOKUP(I4,COMPRA.,7)</f>
        <v>3213652025</v>
      </c>
      <c r="H14" s="215"/>
      <c r="I14" s="215"/>
      <c r="J14" s="216"/>
      <c r="AP14" s="199">
        <f t="shared" si="7"/>
        <v>0</v>
      </c>
      <c r="AU14" s="199">
        <f t="shared" ref="AU14:AU17" si="12">AS14*AT14</f>
        <v>0</v>
      </c>
      <c r="AZ14" s="199">
        <f t="shared" si="6"/>
        <v>0</v>
      </c>
      <c r="BB14" s="199">
        <f>AP14+AU14+AZ14</f>
        <v>0</v>
      </c>
      <c r="BC14" s="199">
        <f>BB14*0.19</f>
        <v>0</v>
      </c>
      <c r="BD14" s="199">
        <f>BB14*0.025</f>
        <v>0</v>
      </c>
      <c r="BE14" s="199">
        <f>BB14*0.01104</f>
        <v>0</v>
      </c>
      <c r="BF14" s="199">
        <f>BB14+BC14+BD14+BE14</f>
        <v>0</v>
      </c>
    </row>
    <row r="15" spans="2:58">
      <c r="B15" s="14" t="s">
        <v>9</v>
      </c>
      <c r="C15" s="237" t="str">
        <f>VLOOKUP(I4,COMPRA.,8)</f>
        <v>COMÚN</v>
      </c>
      <c r="D15" s="215"/>
      <c r="E15" s="215"/>
      <c r="F15" s="10" t="s">
        <v>10</v>
      </c>
      <c r="G15" s="246" t="str">
        <f>VLOOKUP(I4,COMPRA.,9)</f>
        <v>SOPORTEAREPASLAEXQUISITA@GMAIL.COM</v>
      </c>
      <c r="H15" s="215"/>
      <c r="I15" s="215"/>
      <c r="J15" s="216"/>
      <c r="AP15" s="199">
        <f t="shared" si="7"/>
        <v>0</v>
      </c>
      <c r="AU15" s="199">
        <f t="shared" si="12"/>
        <v>0</v>
      </c>
      <c r="AZ15" s="199">
        <f t="shared" si="6"/>
        <v>0</v>
      </c>
      <c r="BB15" s="199">
        <f t="shared" ref="BB15:BB16" si="13">AP15+AU15+AZ15</f>
        <v>0</v>
      </c>
      <c r="BC15" s="199">
        <f t="shared" si="1"/>
        <v>0</v>
      </c>
      <c r="BD15" s="199">
        <f t="shared" ref="BD15:BD16" si="14">BB15*0.025</f>
        <v>0</v>
      </c>
      <c r="BE15" s="199">
        <f t="shared" ref="BE15:BE16" si="15">BB15*0.01104</f>
        <v>0</v>
      </c>
      <c r="BF15" s="199">
        <f t="shared" ref="BF15:BF16" si="16">BB15+BC15+BD15+BE15</f>
        <v>0</v>
      </c>
    </row>
    <row r="16" spans="2:58">
      <c r="B16" s="14" t="s">
        <v>11</v>
      </c>
      <c r="C16" s="237" t="str">
        <f>VLOOKUP(I4,COMPRA.,10)</f>
        <v>BOGOTÁ D.C</v>
      </c>
      <c r="D16" s="215"/>
      <c r="E16" s="215"/>
      <c r="F16" s="10" t="s">
        <v>12</v>
      </c>
      <c r="G16" s="237" t="str">
        <f>VLOOKUP(I4,COMPRA.,11)</f>
        <v>CHEQUE</v>
      </c>
      <c r="H16" s="215"/>
      <c r="I16" s="215"/>
      <c r="J16" s="216"/>
      <c r="AP16" s="199">
        <f t="shared" si="7"/>
        <v>0</v>
      </c>
      <c r="AU16" s="199">
        <f t="shared" si="12"/>
        <v>0</v>
      </c>
      <c r="AZ16" s="199">
        <f t="shared" si="6"/>
        <v>0</v>
      </c>
      <c r="BB16" s="199">
        <f t="shared" si="13"/>
        <v>0</v>
      </c>
      <c r="BC16" s="199">
        <f t="shared" si="1"/>
        <v>0</v>
      </c>
      <c r="BD16" s="199">
        <f t="shared" si="14"/>
        <v>0</v>
      </c>
      <c r="BE16" s="199">
        <f t="shared" si="15"/>
        <v>0</v>
      </c>
      <c r="BF16" s="199">
        <f t="shared" si="16"/>
        <v>0</v>
      </c>
    </row>
    <row r="17" spans="2:58" ht="15" thickBot="1">
      <c r="B17" s="8"/>
      <c r="C17" s="9"/>
      <c r="D17" s="9"/>
      <c r="E17" s="9"/>
      <c r="F17" s="9"/>
      <c r="G17" s="9"/>
      <c r="H17" s="9"/>
      <c r="I17" s="9"/>
      <c r="J17" s="11"/>
      <c r="AU17" s="199">
        <f t="shared" si="12"/>
        <v>0</v>
      </c>
      <c r="AZ17" s="199">
        <f t="shared" si="6"/>
        <v>0</v>
      </c>
      <c r="BB17" s="199">
        <f>AP17+AU17+AZ17</f>
        <v>0</v>
      </c>
      <c r="BC17" s="199">
        <f>BB17*0.19</f>
        <v>0</v>
      </c>
      <c r="BD17" s="199">
        <f>BB17*0.025</f>
        <v>0</v>
      </c>
      <c r="BE17" s="199">
        <f>BB17*0.01104</f>
        <v>0</v>
      </c>
      <c r="BF17" s="199">
        <f>BB17+BC17+BD17+BE17</f>
        <v>0</v>
      </c>
    </row>
    <row r="18" spans="2:58">
      <c r="B18" s="15" t="s">
        <v>13</v>
      </c>
      <c r="C18" s="247" t="s">
        <v>14</v>
      </c>
      <c r="D18" s="248"/>
      <c r="E18" s="249"/>
      <c r="F18" s="247" t="s">
        <v>15</v>
      </c>
      <c r="G18" s="249"/>
      <c r="H18" s="16" t="s">
        <v>16</v>
      </c>
      <c r="I18" s="247" t="s">
        <v>17</v>
      </c>
      <c r="J18" s="250"/>
      <c r="AZ18" s="199">
        <f t="shared" si="6"/>
        <v>0</v>
      </c>
      <c r="BB18" s="199">
        <f t="shared" ref="BB18:BB19" si="17">AP18+AU18+AZ18</f>
        <v>0</v>
      </c>
      <c r="BC18" s="199">
        <f t="shared" si="1"/>
        <v>0</v>
      </c>
      <c r="BD18" s="199">
        <f t="shared" ref="BD18:BD19" si="18">BB18*0.025</f>
        <v>0</v>
      </c>
      <c r="BE18" s="199">
        <f t="shared" ref="BE18:BE19" si="19">BB18*0.01104</f>
        <v>0</v>
      </c>
      <c r="BF18" s="199">
        <f t="shared" ref="BF18:BF19" si="20">BB18+BC18+BD18+BE18</f>
        <v>0</v>
      </c>
    </row>
    <row r="19" spans="2:58">
      <c r="B19" s="17">
        <f>VLOOKUP(I4,COMPRA.,12)</f>
        <v>0</v>
      </c>
      <c r="C19" s="238" t="str">
        <f>VLOOKUP(I4,COMPRA.,13)</f>
        <v>MASA AREPAS</v>
      </c>
      <c r="D19" s="239"/>
      <c r="E19" s="240"/>
      <c r="F19" s="241">
        <f>VLOOKUP(I4,COMPRA.,14)</f>
        <v>8</v>
      </c>
      <c r="G19" s="240"/>
      <c r="H19" s="18">
        <f>VLOOKUP(I4,COMPRA.,15)</f>
        <v>8500</v>
      </c>
      <c r="I19" s="242">
        <f>VLOOKUP(I4,COMPRA.,16)</f>
        <v>68000</v>
      </c>
      <c r="J19" s="243"/>
      <c r="AZ19" s="199">
        <f t="shared" si="6"/>
        <v>0</v>
      </c>
      <c r="BB19" s="199">
        <f t="shared" si="17"/>
        <v>0</v>
      </c>
      <c r="BC19" s="199">
        <f t="shared" si="1"/>
        <v>0</v>
      </c>
      <c r="BD19" s="199">
        <f t="shared" si="18"/>
        <v>0</v>
      </c>
      <c r="BE19" s="199">
        <f t="shared" si="19"/>
        <v>0</v>
      </c>
      <c r="BF19" s="199">
        <f t="shared" si="20"/>
        <v>0</v>
      </c>
    </row>
    <row r="20" spans="2:58">
      <c r="B20" s="19">
        <f>VLOOKUP(I4,COMPRA.,17)</f>
        <v>0</v>
      </c>
      <c r="C20" s="241">
        <f>VLOOKUP(I4,COMPRA.,18)</f>
        <v>0</v>
      </c>
      <c r="D20" s="239"/>
      <c r="E20" s="240"/>
      <c r="F20" s="241">
        <f>VLOOKUP(I4,COMPRA.,19)</f>
        <v>0</v>
      </c>
      <c r="G20" s="240"/>
      <c r="H20" s="18">
        <f>VLOOKUP(I4,COMPRA.,20)</f>
        <v>0</v>
      </c>
      <c r="I20" s="242">
        <f>VLOOKUP(I4,COMPRA.,21)</f>
        <v>0</v>
      </c>
      <c r="J20" s="243"/>
    </row>
    <row r="21" spans="2:58">
      <c r="B21" s="19">
        <f>VLOOKUP(I4,COMPRA.,22)</f>
        <v>0</v>
      </c>
      <c r="C21" s="241">
        <f>VLOOKUP(I4,COMPRA.,23)</f>
        <v>0</v>
      </c>
      <c r="D21" s="239"/>
      <c r="E21" s="240"/>
      <c r="F21" s="241">
        <f>VLOOKUP(I4,COMPRA.,24)</f>
        <v>0</v>
      </c>
      <c r="G21" s="240"/>
      <c r="H21" s="18">
        <f>VLOOKUP(I4,COMPRA.,25)</f>
        <v>0</v>
      </c>
      <c r="I21" s="242">
        <f>VLOOKUP(I4,COMPRA.,26)</f>
        <v>0</v>
      </c>
      <c r="J21" s="243"/>
    </row>
    <row r="22" spans="2:58">
      <c r="B22" s="20"/>
      <c r="C22" s="238"/>
      <c r="D22" s="239"/>
      <c r="E22" s="240"/>
      <c r="F22" s="238"/>
      <c r="G22" s="240"/>
      <c r="H22" s="18"/>
      <c r="I22" s="242"/>
      <c r="J22" s="243"/>
    </row>
    <row r="23" spans="2:58">
      <c r="B23" s="20"/>
      <c r="C23" s="238"/>
      <c r="D23" s="239"/>
      <c r="E23" s="240"/>
      <c r="F23" s="238"/>
      <c r="G23" s="240"/>
      <c r="H23" s="18"/>
      <c r="I23" s="242"/>
      <c r="J23" s="243"/>
    </row>
    <row r="24" spans="2:58">
      <c r="B24" s="20"/>
      <c r="C24" s="238"/>
      <c r="D24" s="239"/>
      <c r="E24" s="240"/>
      <c r="F24" s="238"/>
      <c r="G24" s="240"/>
      <c r="H24" s="18"/>
      <c r="I24" s="242"/>
      <c r="J24" s="243"/>
    </row>
    <row r="25" spans="2:58">
      <c r="B25" s="20"/>
      <c r="C25" s="238"/>
      <c r="D25" s="239"/>
      <c r="E25" s="240"/>
      <c r="F25" s="238"/>
      <c r="G25" s="240"/>
      <c r="H25" s="18"/>
      <c r="I25" s="242"/>
      <c r="J25" s="243"/>
    </row>
    <row r="26" spans="2:58">
      <c r="B26" s="20"/>
      <c r="C26" s="238"/>
      <c r="D26" s="239"/>
      <c r="E26" s="240"/>
      <c r="F26" s="238"/>
      <c r="G26" s="240"/>
      <c r="H26" s="18"/>
      <c r="I26" s="242"/>
      <c r="J26" s="243"/>
    </row>
    <row r="27" spans="2:58" ht="15" thickBot="1">
      <c r="B27" s="21"/>
      <c r="C27" s="251"/>
      <c r="D27" s="252"/>
      <c r="E27" s="253"/>
      <c r="F27" s="254"/>
      <c r="G27" s="253"/>
      <c r="H27" s="22"/>
      <c r="I27" s="255"/>
      <c r="J27" s="256"/>
    </row>
    <row r="28" spans="2:58">
      <c r="B28" s="258" t="s">
        <v>18</v>
      </c>
      <c r="C28" s="215"/>
      <c r="D28" s="215"/>
      <c r="E28" s="215"/>
      <c r="F28" s="215"/>
      <c r="G28" s="215"/>
      <c r="H28" s="23" t="s">
        <v>19</v>
      </c>
      <c r="I28" s="259">
        <f>VLOOKUP(I4,COMPRA.,28)</f>
        <v>68000</v>
      </c>
      <c r="J28" s="250"/>
    </row>
    <row r="29" spans="2:58">
      <c r="B29" s="260" t="str">
        <f>VLOOKUP(I4,COMPRA.,27)</f>
        <v>OCHENTA Y TRES MIL TRESIENTOS SETENTA Y UNO</v>
      </c>
      <c r="C29" s="215"/>
      <c r="D29" s="215"/>
      <c r="E29" s="215"/>
      <c r="F29" s="215"/>
      <c r="G29" s="261"/>
      <c r="H29" s="24" t="s">
        <v>20</v>
      </c>
      <c r="I29" s="262">
        <f>VLOOKUP(I4,COMPRA.,29)</f>
        <v>12920</v>
      </c>
      <c r="J29" s="243"/>
    </row>
    <row r="30" spans="2:58">
      <c r="B30" s="25"/>
      <c r="C30" s="10"/>
      <c r="D30" s="10"/>
      <c r="E30" s="10"/>
      <c r="F30" s="10"/>
      <c r="G30" s="26"/>
      <c r="H30" s="27" t="s">
        <v>21</v>
      </c>
      <c r="I30" s="262">
        <f>VLOOKUP(I4,COMPRA.,30)</f>
        <v>1700</v>
      </c>
      <c r="J30" s="243"/>
    </row>
    <row r="31" spans="2:58">
      <c r="B31" s="25"/>
      <c r="C31" s="10"/>
      <c r="D31" s="10"/>
      <c r="E31" s="10"/>
      <c r="F31" s="10"/>
      <c r="G31" s="26"/>
      <c r="H31" s="27" t="s">
        <v>22</v>
      </c>
      <c r="I31" s="262">
        <f>VLOOKUP(I4,COMPRA.,31)</f>
        <v>750.71999999999991</v>
      </c>
      <c r="J31" s="243"/>
    </row>
    <row r="32" spans="2:58" ht="15" thickBot="1">
      <c r="B32" s="263"/>
      <c r="C32" s="264"/>
      <c r="D32" s="264"/>
      <c r="E32" s="264"/>
      <c r="F32" s="264"/>
      <c r="G32" s="265"/>
      <c r="H32" s="28" t="s">
        <v>23</v>
      </c>
      <c r="I32" s="266">
        <f>VLOOKUP(I4,COMPRA.,32)</f>
        <v>83370.720000000001</v>
      </c>
      <c r="J32" s="256"/>
    </row>
    <row r="33" spans="2:10" ht="15" thickBot="1">
      <c r="B33" s="267" t="s">
        <v>24</v>
      </c>
      <c r="C33" s="268"/>
      <c r="D33" s="268"/>
      <c r="E33" s="268"/>
      <c r="F33" s="268"/>
      <c r="G33" s="268"/>
      <c r="H33" s="268"/>
      <c r="I33" s="268"/>
      <c r="J33" s="269"/>
    </row>
    <row r="34" spans="2:10">
      <c r="B34" s="270" t="s">
        <v>25</v>
      </c>
      <c r="C34" s="248"/>
      <c r="D34" s="248"/>
      <c r="E34" s="248"/>
      <c r="F34" s="271" t="s">
        <v>26</v>
      </c>
      <c r="G34" s="248"/>
      <c r="H34" s="248"/>
      <c r="I34" s="248"/>
      <c r="J34" s="250"/>
    </row>
    <row r="35" spans="2:10">
      <c r="B35" s="8"/>
      <c r="C35" s="9"/>
      <c r="D35" s="9"/>
      <c r="E35" s="9"/>
      <c r="F35" s="29"/>
      <c r="G35" s="9"/>
      <c r="H35" s="9"/>
      <c r="I35" s="9"/>
      <c r="J35" s="11"/>
    </row>
    <row r="36" spans="2:10">
      <c r="B36" s="8"/>
      <c r="C36" s="9"/>
      <c r="D36" s="9"/>
      <c r="E36" s="9"/>
      <c r="F36" s="29"/>
      <c r="G36" s="9"/>
      <c r="H36" s="9"/>
      <c r="I36" s="9"/>
      <c r="J36" s="11"/>
    </row>
    <row r="37" spans="2:10">
      <c r="B37" s="8"/>
      <c r="C37" s="9"/>
      <c r="D37" s="9"/>
      <c r="E37" s="9"/>
      <c r="F37" s="29"/>
      <c r="G37" s="9"/>
      <c r="H37" s="9"/>
      <c r="I37" s="9"/>
      <c r="J37" s="11"/>
    </row>
    <row r="38" spans="2:10" ht="15" thickBot="1">
      <c r="B38" s="30"/>
      <c r="C38" s="31"/>
      <c r="D38" s="31"/>
      <c r="E38" s="31"/>
      <c r="F38" s="32"/>
      <c r="G38" s="31"/>
      <c r="H38" s="31"/>
      <c r="I38" s="31"/>
      <c r="J38" s="33"/>
    </row>
    <row r="39" spans="2:10">
      <c r="B39" s="257" t="s">
        <v>27</v>
      </c>
      <c r="C39" s="224"/>
      <c r="D39" s="224"/>
      <c r="E39" s="224"/>
      <c r="F39" s="224"/>
      <c r="G39" s="224"/>
      <c r="H39" s="224"/>
      <c r="I39" s="224"/>
      <c r="J39" s="224"/>
    </row>
  </sheetData>
  <mergeCells count="66">
    <mergeCell ref="B39:J39"/>
    <mergeCell ref="B28:G28"/>
    <mergeCell ref="I28:J28"/>
    <mergeCell ref="B29:G29"/>
    <mergeCell ref="I29:J29"/>
    <mergeCell ref="I30:J30"/>
    <mergeCell ref="I31:J31"/>
    <mergeCell ref="B32:G32"/>
    <mergeCell ref="I32:J32"/>
    <mergeCell ref="B33:J33"/>
    <mergeCell ref="B34:E34"/>
    <mergeCell ref="F34:J34"/>
    <mergeCell ref="C26:E26"/>
    <mergeCell ref="F26:G26"/>
    <mergeCell ref="I26:J26"/>
    <mergeCell ref="C27:E27"/>
    <mergeCell ref="F27:G27"/>
    <mergeCell ref="I27:J27"/>
    <mergeCell ref="C24:E24"/>
    <mergeCell ref="F24:G24"/>
    <mergeCell ref="I24:J24"/>
    <mergeCell ref="C25:E25"/>
    <mergeCell ref="F25:G25"/>
    <mergeCell ref="I25:J25"/>
    <mergeCell ref="C22:E22"/>
    <mergeCell ref="F22:G22"/>
    <mergeCell ref="I22:J22"/>
    <mergeCell ref="C23:E23"/>
    <mergeCell ref="F23:G23"/>
    <mergeCell ref="I23:J23"/>
    <mergeCell ref="C20:E20"/>
    <mergeCell ref="F20:G20"/>
    <mergeCell ref="I20:J20"/>
    <mergeCell ref="C21:E21"/>
    <mergeCell ref="F21:G21"/>
    <mergeCell ref="I21:J21"/>
    <mergeCell ref="C19:E19"/>
    <mergeCell ref="F19:G19"/>
    <mergeCell ref="I19:J19"/>
    <mergeCell ref="C13:E13"/>
    <mergeCell ref="G13:J13"/>
    <mergeCell ref="C14:E14"/>
    <mergeCell ref="G14:J14"/>
    <mergeCell ref="C15:E15"/>
    <mergeCell ref="G15:J15"/>
    <mergeCell ref="C16:E16"/>
    <mergeCell ref="G16:J16"/>
    <mergeCell ref="C18:E18"/>
    <mergeCell ref="F18:G18"/>
    <mergeCell ref="I18:J18"/>
    <mergeCell ref="G11:J11"/>
    <mergeCell ref="B2:C9"/>
    <mergeCell ref="D2:F2"/>
    <mergeCell ref="G2:J3"/>
    <mergeCell ref="D3:F3"/>
    <mergeCell ref="D4:F4"/>
    <mergeCell ref="D5:F5"/>
    <mergeCell ref="D6:F6"/>
    <mergeCell ref="D7:F7"/>
    <mergeCell ref="G7:H8"/>
    <mergeCell ref="I7:J8"/>
    <mergeCell ref="D8:F8"/>
    <mergeCell ref="D9:F9"/>
    <mergeCell ref="G9:H9"/>
    <mergeCell ref="I9:J9"/>
    <mergeCell ref="G10:J10"/>
  </mergeCells>
  <hyperlinks>
    <hyperlink ref="D6" r:id="rId1" xr:uid="{4A91A1DB-7E42-4C81-8ABA-C76694791B1B}"/>
    <hyperlink ref="AI4" r:id="rId2" xr:uid="{831CBCA8-3A4F-4DBA-9C5E-31FDFAB9B99A}"/>
  </hyperlinks>
  <pageMargins left="0.7" right="0.7" top="0.75" bottom="0.75" header="0.3" footer="0.3"/>
  <pageSetup orientation="portrait" r:id="rId3"/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104C-9210-42D8-AD9E-B1F07B32E3E1}">
  <dimension ref="B2:J20"/>
  <sheetViews>
    <sheetView topLeftCell="A2" workbookViewId="0">
      <selection activeCell="K7" sqref="K7"/>
    </sheetView>
  </sheetViews>
  <sheetFormatPr baseColWidth="10" defaultRowHeight="14.4"/>
  <sheetData>
    <row r="2" spans="2:10" ht="31.5" customHeight="1">
      <c r="B2" s="408" t="s">
        <v>289</v>
      </c>
      <c r="C2" s="408"/>
      <c r="D2" s="408"/>
      <c r="E2" s="408"/>
      <c r="F2" s="408"/>
      <c r="G2" s="408"/>
    </row>
    <row r="3" spans="2:10">
      <c r="B3" s="407" t="s">
        <v>290</v>
      </c>
      <c r="C3" s="407"/>
      <c r="D3" s="409">
        <v>45373</v>
      </c>
      <c r="E3" s="409"/>
      <c r="F3" s="409"/>
      <c r="G3" s="409"/>
      <c r="H3" s="208"/>
    </row>
    <row r="4" spans="2:10">
      <c r="B4" s="409" t="s">
        <v>291</v>
      </c>
      <c r="C4" s="409"/>
      <c r="D4" s="407" t="s">
        <v>296</v>
      </c>
      <c r="E4" s="407"/>
      <c r="F4" s="407"/>
      <c r="G4" s="407"/>
    </row>
    <row r="5" spans="2:10">
      <c r="B5" s="407" t="s">
        <v>292</v>
      </c>
      <c r="C5" s="407"/>
      <c r="D5" s="407" t="s">
        <v>297</v>
      </c>
      <c r="E5" s="407"/>
      <c r="F5" s="407"/>
      <c r="G5" s="407"/>
    </row>
    <row r="6" spans="2:10">
      <c r="B6" s="407" t="s">
        <v>293</v>
      </c>
      <c r="C6" s="407"/>
      <c r="D6" s="407" t="s">
        <v>298</v>
      </c>
      <c r="E6" s="407"/>
      <c r="F6" s="407"/>
      <c r="G6" s="407"/>
      <c r="I6" s="209"/>
      <c r="J6" s="207"/>
    </row>
    <row r="7" spans="2:10">
      <c r="B7" s="407" t="s">
        <v>41</v>
      </c>
      <c r="C7" s="407"/>
      <c r="D7" s="407" t="s">
        <v>299</v>
      </c>
      <c r="E7" s="407"/>
      <c r="F7" s="407"/>
      <c r="G7" s="407"/>
    </row>
    <row r="8" spans="2:10">
      <c r="B8" s="407" t="s">
        <v>294</v>
      </c>
      <c r="C8" s="407"/>
      <c r="D8" s="407" t="s">
        <v>209</v>
      </c>
      <c r="E8" s="407"/>
      <c r="F8" s="407"/>
      <c r="G8" s="407"/>
    </row>
    <row r="9" spans="2:10">
      <c r="B9" s="407" t="s">
        <v>295</v>
      </c>
      <c r="C9" s="407"/>
      <c r="D9" s="411">
        <v>8000000</v>
      </c>
      <c r="E9" s="407"/>
      <c r="F9" s="407"/>
      <c r="G9" s="407"/>
    </row>
    <row r="10" spans="2:10">
      <c r="B10" s="210"/>
      <c r="C10" s="210"/>
      <c r="D10" s="210"/>
      <c r="E10" s="210"/>
      <c r="F10" s="210"/>
      <c r="G10" s="210"/>
    </row>
    <row r="11" spans="2:10">
      <c r="B11" s="407" t="s">
        <v>300</v>
      </c>
      <c r="C11" s="407"/>
      <c r="D11" s="412">
        <v>8000000</v>
      </c>
      <c r="E11" s="413"/>
      <c r="F11" s="413"/>
      <c r="G11" s="413"/>
    </row>
    <row r="12" spans="2:10">
      <c r="B12" s="407" t="s">
        <v>301</v>
      </c>
      <c r="C12" s="407"/>
      <c r="D12" s="210"/>
      <c r="E12" s="210"/>
      <c r="F12" s="210"/>
      <c r="G12" s="210"/>
    </row>
    <row r="13" spans="2:10">
      <c r="B13" s="210"/>
      <c r="C13" s="210"/>
      <c r="D13" s="210"/>
      <c r="E13" s="210"/>
      <c r="F13" s="210"/>
      <c r="G13" s="210"/>
    </row>
    <row r="14" spans="2:10">
      <c r="B14" s="211">
        <v>45326</v>
      </c>
      <c r="C14" s="211"/>
      <c r="D14" s="409" t="s">
        <v>302</v>
      </c>
      <c r="E14" s="409"/>
      <c r="F14" s="409"/>
      <c r="G14" s="409"/>
    </row>
    <row r="15" spans="2:10">
      <c r="B15" s="210"/>
      <c r="C15" s="210"/>
      <c r="D15" s="210"/>
      <c r="E15" s="210"/>
      <c r="F15" s="210"/>
      <c r="G15" s="210"/>
    </row>
    <row r="16" spans="2:10">
      <c r="B16" s="210"/>
      <c r="C16" s="210"/>
      <c r="D16" s="212">
        <v>45373</v>
      </c>
      <c r="E16" s="210">
        <v>9135</v>
      </c>
      <c r="F16" s="210">
        <v>5741</v>
      </c>
      <c r="G16" s="213">
        <v>0.4201388888888889</v>
      </c>
    </row>
    <row r="17" spans="2:7">
      <c r="B17" s="210"/>
      <c r="C17" s="210"/>
      <c r="D17" s="210"/>
      <c r="E17" s="210"/>
      <c r="F17" s="210"/>
      <c r="G17" s="210" t="s">
        <v>126</v>
      </c>
    </row>
    <row r="18" spans="2:7">
      <c r="B18" s="210"/>
      <c r="C18" s="210"/>
      <c r="D18" s="210"/>
      <c r="E18" s="210"/>
      <c r="F18" s="210"/>
      <c r="G18" s="210"/>
    </row>
    <row r="19" spans="2:7">
      <c r="B19" s="210"/>
      <c r="C19" s="210"/>
      <c r="D19" s="210"/>
      <c r="E19" s="210"/>
      <c r="F19" s="210"/>
      <c r="G19" s="210"/>
    </row>
    <row r="20" spans="2:7" ht="32.25" customHeight="1">
      <c r="B20" s="410" t="s">
        <v>303</v>
      </c>
      <c r="C20" s="410"/>
      <c r="D20" s="210"/>
      <c r="E20" s="210"/>
      <c r="F20" s="210"/>
      <c r="G20" s="210"/>
    </row>
  </sheetData>
  <mergeCells count="20">
    <mergeCell ref="B8:C8"/>
    <mergeCell ref="B9:C9"/>
    <mergeCell ref="B20:C20"/>
    <mergeCell ref="D8:G8"/>
    <mergeCell ref="D9:G9"/>
    <mergeCell ref="B11:C11"/>
    <mergeCell ref="D11:G11"/>
    <mergeCell ref="B12:C12"/>
    <mergeCell ref="D14:G14"/>
    <mergeCell ref="D4:G4"/>
    <mergeCell ref="D5:G5"/>
    <mergeCell ref="D6:G6"/>
    <mergeCell ref="D7:G7"/>
    <mergeCell ref="B2:G2"/>
    <mergeCell ref="B3:C3"/>
    <mergeCell ref="B4:C4"/>
    <mergeCell ref="D3:G3"/>
    <mergeCell ref="B5:C5"/>
    <mergeCell ref="B6:C6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BF0A-1802-4CD3-A2C8-DFBE724AF2C8}">
  <dimension ref="B1:BF39"/>
  <sheetViews>
    <sheetView zoomScale="96" zoomScaleNormal="96" workbookViewId="0">
      <selection activeCell="AE7" sqref="AE7"/>
    </sheetView>
  </sheetViews>
  <sheetFormatPr baseColWidth="10" defaultRowHeight="14.4"/>
  <cols>
    <col min="1" max="1" width="5.5546875" customWidth="1"/>
    <col min="6" max="6" width="21.5546875" customWidth="1"/>
    <col min="8" max="8" width="17.109375" customWidth="1"/>
    <col min="28" max="28" width="20" customWidth="1"/>
    <col min="29" max="29" width="21.88671875" customWidth="1"/>
    <col min="30" max="30" width="23.6640625" customWidth="1"/>
    <col min="31" max="31" width="21.6640625" customWidth="1"/>
    <col min="32" max="32" width="18.44140625" customWidth="1"/>
    <col min="35" max="35" width="39.88671875" customWidth="1"/>
    <col min="37" max="37" width="19.5546875" customWidth="1"/>
    <col min="38" max="38" width="20.44140625" customWidth="1"/>
    <col min="39" max="39" width="18.44140625" customWidth="1"/>
    <col min="43" max="43" width="14.109375" customWidth="1"/>
    <col min="44" max="44" width="18.109375" customWidth="1"/>
    <col min="48" max="48" width="17.109375" customWidth="1"/>
    <col min="53" max="53" width="56.44140625" customWidth="1"/>
    <col min="54" max="54" width="16" customWidth="1"/>
    <col min="55" max="55" width="21.6640625" customWidth="1"/>
    <col min="56" max="56" width="15.5546875" customWidth="1"/>
    <col min="57" max="57" width="16.33203125" customWidth="1"/>
    <col min="58" max="58" width="13.5546875" customWidth="1"/>
  </cols>
  <sheetData>
    <row r="1" spans="2:58" ht="15" thickBot="1">
      <c r="AA1" s="190" t="s">
        <v>123</v>
      </c>
      <c r="AB1" s="190" t="s">
        <v>124</v>
      </c>
      <c r="AC1" s="190" t="s">
        <v>125</v>
      </c>
      <c r="AD1" s="190" t="s">
        <v>126</v>
      </c>
      <c r="AE1" s="190" t="s">
        <v>112</v>
      </c>
      <c r="AF1" s="190" t="s">
        <v>127</v>
      </c>
      <c r="AG1" s="190" t="s">
        <v>128</v>
      </c>
      <c r="AH1" s="190" t="s">
        <v>129</v>
      </c>
      <c r="AI1" s="190" t="s">
        <v>130</v>
      </c>
      <c r="AJ1" s="190" t="s">
        <v>75</v>
      </c>
      <c r="AK1" s="190" t="s">
        <v>131</v>
      </c>
      <c r="AL1" s="190" t="s">
        <v>13</v>
      </c>
      <c r="AM1" s="190" t="s">
        <v>132</v>
      </c>
      <c r="AN1" s="190" t="s">
        <v>15</v>
      </c>
      <c r="AO1" s="190" t="s">
        <v>133</v>
      </c>
      <c r="AP1" s="190" t="s">
        <v>134</v>
      </c>
      <c r="AQ1" s="190" t="s">
        <v>13</v>
      </c>
      <c r="AR1" s="190" t="s">
        <v>132</v>
      </c>
      <c r="AS1" s="190" t="s">
        <v>15</v>
      </c>
      <c r="AT1" s="190" t="s">
        <v>133</v>
      </c>
      <c r="AU1" s="190" t="s">
        <v>134</v>
      </c>
      <c r="AV1" s="190" t="s">
        <v>13</v>
      </c>
      <c r="AW1" s="190" t="s">
        <v>132</v>
      </c>
      <c r="AX1" s="190" t="s">
        <v>15</v>
      </c>
      <c r="AY1" s="190" t="s">
        <v>133</v>
      </c>
      <c r="AZ1" s="190" t="s">
        <v>134</v>
      </c>
      <c r="BA1" s="190" t="s">
        <v>135</v>
      </c>
      <c r="BB1" s="190" t="s">
        <v>136</v>
      </c>
      <c r="BC1" s="190" t="s">
        <v>137</v>
      </c>
      <c r="BD1" s="190" t="s">
        <v>138</v>
      </c>
      <c r="BE1" s="190" t="s">
        <v>22</v>
      </c>
      <c r="BF1" s="190" t="s">
        <v>139</v>
      </c>
    </row>
    <row r="2" spans="2:58" ht="17.399999999999999">
      <c r="B2" s="217" t="s">
        <v>28</v>
      </c>
      <c r="C2" s="218"/>
      <c r="D2" s="272" t="s">
        <v>288</v>
      </c>
      <c r="E2" s="224"/>
      <c r="F2" s="218"/>
      <c r="G2" s="225" t="s">
        <v>29</v>
      </c>
      <c r="H2" s="226"/>
      <c r="I2" s="226"/>
      <c r="J2" s="227"/>
      <c r="AA2">
        <v>1</v>
      </c>
      <c r="AB2">
        <v>2</v>
      </c>
      <c r="AC2">
        <v>3</v>
      </c>
      <c r="AD2" s="1">
        <v>4</v>
      </c>
      <c r="AE2" s="1">
        <v>5</v>
      </c>
      <c r="AF2" s="1">
        <v>6</v>
      </c>
      <c r="AG2" s="1">
        <v>7</v>
      </c>
      <c r="AH2" s="1">
        <v>8</v>
      </c>
      <c r="AI2" s="1">
        <v>9</v>
      </c>
      <c r="AJ2" s="1">
        <v>10</v>
      </c>
      <c r="AK2" s="1">
        <v>11</v>
      </c>
      <c r="AL2" s="1">
        <v>12</v>
      </c>
      <c r="AM2" s="1">
        <v>13</v>
      </c>
      <c r="AN2" s="1">
        <v>14</v>
      </c>
      <c r="AO2" s="1">
        <v>15</v>
      </c>
      <c r="AP2" s="1">
        <v>16</v>
      </c>
      <c r="AQ2" s="1">
        <v>17</v>
      </c>
      <c r="AR2" s="1">
        <v>18</v>
      </c>
      <c r="AS2" s="1">
        <v>19</v>
      </c>
      <c r="AT2" s="1">
        <v>20</v>
      </c>
      <c r="AU2" s="1">
        <v>21</v>
      </c>
      <c r="AV2" s="1">
        <v>22</v>
      </c>
      <c r="AW2" s="1">
        <v>23</v>
      </c>
      <c r="AX2" s="1">
        <v>24</v>
      </c>
      <c r="AY2" s="1">
        <v>25</v>
      </c>
      <c r="AZ2" s="1">
        <v>26</v>
      </c>
      <c r="BA2" s="1">
        <v>27</v>
      </c>
      <c r="BB2" s="1">
        <v>28</v>
      </c>
      <c r="BC2" s="1">
        <v>29</v>
      </c>
      <c r="BD2" s="1">
        <v>30</v>
      </c>
      <c r="BE2" s="1">
        <v>31</v>
      </c>
      <c r="BF2" s="1">
        <v>32</v>
      </c>
    </row>
    <row r="3" spans="2:58" ht="15.6">
      <c r="B3" s="219"/>
      <c r="C3" s="220"/>
      <c r="D3" s="229" t="s">
        <v>209</v>
      </c>
      <c r="E3" s="215"/>
      <c r="F3" s="215"/>
      <c r="G3" s="228"/>
      <c r="H3" s="215"/>
      <c r="I3" s="215"/>
      <c r="J3" s="220"/>
      <c r="AA3">
        <v>2</v>
      </c>
      <c r="AB3" s="201">
        <v>45341</v>
      </c>
      <c r="AC3" s="201">
        <v>45341</v>
      </c>
      <c r="AD3" t="s">
        <v>233</v>
      </c>
      <c r="AE3" t="s">
        <v>234</v>
      </c>
      <c r="AF3" s="199">
        <v>56987234</v>
      </c>
      <c r="AG3" s="199">
        <v>4518244</v>
      </c>
      <c r="AH3" s="199" t="s">
        <v>227</v>
      </c>
      <c r="AI3" s="199" t="s">
        <v>228</v>
      </c>
      <c r="AJ3" s="199" t="s">
        <v>229</v>
      </c>
      <c r="AK3" t="s">
        <v>46</v>
      </c>
      <c r="AM3" t="s">
        <v>235</v>
      </c>
      <c r="AN3">
        <v>10</v>
      </c>
      <c r="AO3" s="200">
        <v>2500</v>
      </c>
      <c r="AP3">
        <f>AN3*AO3</f>
        <v>25000</v>
      </c>
      <c r="AR3" t="s">
        <v>235</v>
      </c>
      <c r="AS3">
        <v>45</v>
      </c>
      <c r="AT3" s="200">
        <v>2500</v>
      </c>
      <c r="AU3">
        <f>AS3*AT3</f>
        <v>112500</v>
      </c>
      <c r="AZ3">
        <v>0</v>
      </c>
      <c r="BA3" t="s">
        <v>236</v>
      </c>
      <c r="BB3">
        <f>AP3+AU3+AZ3</f>
        <v>137500</v>
      </c>
      <c r="BC3">
        <f>BB3*0.19</f>
        <v>26125</v>
      </c>
      <c r="BD3">
        <f>BB3*0.025</f>
        <v>3437.5</v>
      </c>
      <c r="BE3">
        <f>BB3*0.01104</f>
        <v>1518</v>
      </c>
      <c r="BF3">
        <f>BB3+BC3+BD3+BE3</f>
        <v>168580.5</v>
      </c>
    </row>
    <row r="4" spans="2:58" ht="22.8">
      <c r="B4" s="219"/>
      <c r="C4" s="220"/>
      <c r="D4" s="231" t="s">
        <v>210</v>
      </c>
      <c r="E4" s="215"/>
      <c r="F4" s="215"/>
      <c r="G4" s="2"/>
      <c r="H4" s="3" t="s">
        <v>2</v>
      </c>
      <c r="I4" s="4">
        <v>1</v>
      </c>
      <c r="J4" s="5"/>
      <c r="AA4">
        <v>1</v>
      </c>
      <c r="AB4" s="201">
        <v>45366</v>
      </c>
      <c r="AC4" s="201">
        <v>45366</v>
      </c>
      <c r="AD4" t="s">
        <v>286</v>
      </c>
      <c r="AE4" t="s">
        <v>274</v>
      </c>
      <c r="AF4" t="s">
        <v>209</v>
      </c>
      <c r="AG4">
        <v>3213652025</v>
      </c>
      <c r="AH4" t="s">
        <v>280</v>
      </c>
      <c r="AI4" s="202" t="s">
        <v>275</v>
      </c>
      <c r="AJ4" t="s">
        <v>229</v>
      </c>
      <c r="AK4" t="s">
        <v>46</v>
      </c>
      <c r="AM4" t="s">
        <v>235</v>
      </c>
      <c r="AN4">
        <v>15</v>
      </c>
      <c r="AO4">
        <v>2500</v>
      </c>
      <c r="AP4">
        <f>AN4*AO4</f>
        <v>37500</v>
      </c>
      <c r="AU4" s="199">
        <f t="shared" ref="AU4:AU16" si="0">AS4*AT4</f>
        <v>0</v>
      </c>
      <c r="AZ4" s="199">
        <v>0</v>
      </c>
      <c r="BA4" t="s">
        <v>281</v>
      </c>
      <c r="BB4">
        <f>AP4+AU4+AZ4</f>
        <v>37500</v>
      </c>
      <c r="BC4">
        <f>BB4*0.19</f>
        <v>7125</v>
      </c>
      <c r="BD4">
        <f>BB4*0.025</f>
        <v>937.5</v>
      </c>
      <c r="BE4">
        <f>BB4*0.01104</f>
        <v>414</v>
      </c>
      <c r="BF4">
        <f>BB4+BC4+BD4+BE4</f>
        <v>45976.5</v>
      </c>
    </row>
    <row r="5" spans="2:58">
      <c r="B5" s="219"/>
      <c r="C5" s="220"/>
      <c r="D5" s="231">
        <v>3213652025</v>
      </c>
      <c r="E5" s="215"/>
      <c r="F5" s="215"/>
      <c r="G5" s="6"/>
      <c r="H5" s="6"/>
      <c r="I5" s="6"/>
      <c r="J5" s="7"/>
      <c r="AU5" s="199">
        <f t="shared" si="0"/>
        <v>0</v>
      </c>
      <c r="AZ5" s="199">
        <v>0</v>
      </c>
    </row>
    <row r="6" spans="2:58">
      <c r="B6" s="219"/>
      <c r="C6" s="220"/>
      <c r="D6" s="232" t="s">
        <v>212</v>
      </c>
      <c r="E6" s="215"/>
      <c r="F6" s="215"/>
      <c r="G6" s="6"/>
      <c r="H6" s="6"/>
      <c r="I6" s="6"/>
      <c r="J6" s="7"/>
      <c r="AU6" s="199">
        <f t="shared" si="0"/>
        <v>0</v>
      </c>
      <c r="AZ6" s="199">
        <v>0</v>
      </c>
    </row>
    <row r="7" spans="2:58">
      <c r="B7" s="219"/>
      <c r="C7" s="220"/>
      <c r="D7" s="273" t="s">
        <v>30</v>
      </c>
      <c r="E7" s="215"/>
      <c r="F7" s="215"/>
      <c r="G7" s="234"/>
      <c r="H7" s="215"/>
      <c r="I7" s="235"/>
      <c r="J7" s="216"/>
      <c r="AU7" s="199">
        <f t="shared" si="0"/>
        <v>0</v>
      </c>
      <c r="AZ7" s="199">
        <v>0</v>
      </c>
    </row>
    <row r="8" spans="2:58">
      <c r="B8" s="219"/>
      <c r="C8" s="220"/>
      <c r="D8" s="273" t="s">
        <v>31</v>
      </c>
      <c r="E8" s="215"/>
      <c r="F8" s="215"/>
      <c r="G8" s="215"/>
      <c r="H8" s="215"/>
      <c r="I8" s="215"/>
      <c r="J8" s="216"/>
      <c r="AU8" s="199">
        <f t="shared" si="0"/>
        <v>0</v>
      </c>
      <c r="AZ8" s="199">
        <v>0</v>
      </c>
    </row>
    <row r="9" spans="2:58">
      <c r="B9" s="221"/>
      <c r="C9" s="222"/>
      <c r="D9" s="236"/>
      <c r="E9" s="215"/>
      <c r="F9" s="215"/>
      <c r="G9" s="234"/>
      <c r="H9" s="215"/>
      <c r="I9" s="237"/>
      <c r="J9" s="216"/>
      <c r="AU9" s="199">
        <f>AS9*AT9</f>
        <v>0</v>
      </c>
      <c r="AZ9" s="199">
        <v>0</v>
      </c>
    </row>
    <row r="10" spans="2:58">
      <c r="B10" s="8"/>
      <c r="C10" s="9"/>
      <c r="D10" s="9"/>
      <c r="E10" s="9"/>
      <c r="F10" s="10" t="s">
        <v>3</v>
      </c>
      <c r="G10" s="214">
        <f>VLOOKUP(I4,VENTA,2)</f>
        <v>45366</v>
      </c>
      <c r="H10" s="215"/>
      <c r="I10" s="215"/>
      <c r="J10" s="216"/>
      <c r="AU10" s="199">
        <f t="shared" si="0"/>
        <v>0</v>
      </c>
      <c r="AZ10" s="199">
        <v>0</v>
      </c>
    </row>
    <row r="11" spans="2:58">
      <c r="B11" s="8"/>
      <c r="C11" s="9"/>
      <c r="D11" s="9"/>
      <c r="E11" s="9"/>
      <c r="F11" s="10" t="s">
        <v>4</v>
      </c>
      <c r="G11" s="214">
        <f>VLOOKUP(I4,VENTA,3)</f>
        <v>45366</v>
      </c>
      <c r="H11" s="215"/>
      <c r="I11" s="215"/>
      <c r="J11" s="216"/>
      <c r="AU11" s="199">
        <f t="shared" si="0"/>
        <v>0</v>
      </c>
      <c r="AZ11" s="199">
        <v>0</v>
      </c>
    </row>
    <row r="12" spans="2:58">
      <c r="B12" s="8"/>
      <c r="C12" s="9"/>
      <c r="D12" s="9"/>
      <c r="E12" s="9"/>
      <c r="F12" s="9"/>
      <c r="G12" s="9"/>
      <c r="H12" s="9"/>
      <c r="I12" s="9"/>
      <c r="J12" s="11"/>
      <c r="AU12" s="199">
        <f t="shared" si="0"/>
        <v>0</v>
      </c>
      <c r="AZ12" s="199">
        <v>0</v>
      </c>
    </row>
    <row r="13" spans="2:58">
      <c r="B13" s="12" t="s">
        <v>5</v>
      </c>
      <c r="C13" s="244" t="str">
        <f>VLOOKUP(I4,VENTA,4)</f>
        <v>AREPAS LA EXQUISITA SAS</v>
      </c>
      <c r="D13" s="226"/>
      <c r="E13" s="226"/>
      <c r="F13" s="13" t="s">
        <v>6</v>
      </c>
      <c r="G13" s="244" t="str">
        <f>VLOOKUP(I4,VENTA,5)</f>
        <v>CALLE 38C 73A 78SUR</v>
      </c>
      <c r="H13" s="226"/>
      <c r="I13" s="226"/>
      <c r="J13" s="245"/>
      <c r="AU13" s="199">
        <f t="shared" si="0"/>
        <v>0</v>
      </c>
      <c r="AZ13" s="199">
        <v>0</v>
      </c>
    </row>
    <row r="14" spans="2:58">
      <c r="B14" s="8" t="s">
        <v>7</v>
      </c>
      <c r="C14" s="237" t="str">
        <f>VLOOKUP(I4,VENTA,6)</f>
        <v>1121846020-9</v>
      </c>
      <c r="D14" s="215"/>
      <c r="E14" s="215"/>
      <c r="F14" s="10" t="s">
        <v>8</v>
      </c>
      <c r="G14" s="237">
        <f>VLOOKUP(I4,VENTA,7)</f>
        <v>3213652025</v>
      </c>
      <c r="H14" s="215"/>
      <c r="I14" s="215"/>
      <c r="J14" s="216"/>
      <c r="AU14" s="199">
        <f>AS14*AT14</f>
        <v>0</v>
      </c>
      <c r="AZ14" s="199">
        <v>0</v>
      </c>
    </row>
    <row r="15" spans="2:58">
      <c r="B15" s="14" t="s">
        <v>9</v>
      </c>
      <c r="C15" s="237" t="str">
        <f>VLOOKUP(I4,VENTA,8)</f>
        <v>COM+UN</v>
      </c>
      <c r="D15" s="215"/>
      <c r="E15" s="215"/>
      <c r="F15" s="10" t="s">
        <v>10</v>
      </c>
      <c r="G15" s="246" t="str">
        <f>VLOOKUP(I4,VENTA,9)</f>
        <v>SOPORTEAREPASLAEXQUISITA@GMAIL.COM</v>
      </c>
      <c r="H15" s="215"/>
      <c r="I15" s="215"/>
      <c r="J15" s="216"/>
      <c r="AU15" s="199">
        <f t="shared" si="0"/>
        <v>0</v>
      </c>
      <c r="AZ15" s="199">
        <v>0</v>
      </c>
    </row>
    <row r="16" spans="2:58">
      <c r="B16" s="14" t="s">
        <v>11</v>
      </c>
      <c r="C16" s="237" t="str">
        <f>VLOOKUP(I4,VENTA,10)</f>
        <v>BOGOTÁ D.C</v>
      </c>
      <c r="D16" s="215"/>
      <c r="E16" s="215"/>
      <c r="F16" s="10" t="s">
        <v>12</v>
      </c>
      <c r="G16" s="237" t="str">
        <f>VLOOKUP(I4,VENTA,11)</f>
        <v>EFECTIVO</v>
      </c>
      <c r="H16" s="215"/>
      <c r="I16" s="215"/>
      <c r="J16" s="216"/>
      <c r="AU16" s="199">
        <f t="shared" si="0"/>
        <v>0</v>
      </c>
      <c r="AZ16" s="199">
        <v>0</v>
      </c>
    </row>
    <row r="17" spans="2:52" ht="15" thickBot="1">
      <c r="B17" s="8"/>
      <c r="C17" s="9"/>
      <c r="D17" s="9"/>
      <c r="E17" s="9"/>
      <c r="F17" s="9"/>
      <c r="G17" s="9"/>
      <c r="H17" s="9"/>
      <c r="I17" s="9"/>
      <c r="J17" s="11"/>
      <c r="AZ17" s="199">
        <v>0</v>
      </c>
    </row>
    <row r="18" spans="2:52">
      <c r="B18" s="15" t="s">
        <v>13</v>
      </c>
      <c r="C18" s="247" t="s">
        <v>14</v>
      </c>
      <c r="D18" s="248"/>
      <c r="E18" s="249"/>
      <c r="F18" s="247" t="s">
        <v>15</v>
      </c>
      <c r="G18" s="249"/>
      <c r="H18" s="16" t="s">
        <v>16</v>
      </c>
      <c r="I18" s="247" t="s">
        <v>17</v>
      </c>
      <c r="J18" s="250"/>
      <c r="AZ18" s="199">
        <v>0</v>
      </c>
    </row>
    <row r="19" spans="2:52">
      <c r="B19" s="17">
        <f>VLOOKUP(I4,VENTA,12)</f>
        <v>0</v>
      </c>
      <c r="C19" s="238" t="str">
        <f>VLOOKUP(I4,VENTA,13)</f>
        <v>AREPAS DE MAIZ</v>
      </c>
      <c r="D19" s="239"/>
      <c r="E19" s="240"/>
      <c r="F19" s="238">
        <f>VLOOKUP(I4,VENTA,14)</f>
        <v>15</v>
      </c>
      <c r="G19" s="240"/>
      <c r="H19" s="18">
        <f>VLOOKUP(I4,VENTA,15)</f>
        <v>2500</v>
      </c>
      <c r="I19" s="242">
        <f>VLOOKUP(I4,VENTA,16)</f>
        <v>37500</v>
      </c>
      <c r="J19" s="243"/>
      <c r="AZ19" s="199">
        <v>0</v>
      </c>
    </row>
    <row r="20" spans="2:52">
      <c r="B20" s="17">
        <f>VLOOKUP(I4,VENTA,17)</f>
        <v>0</v>
      </c>
      <c r="C20" s="238">
        <f>VLOOKUP(I4,VENTA,18)</f>
        <v>0</v>
      </c>
      <c r="D20" s="239"/>
      <c r="E20" s="240"/>
      <c r="F20" s="238">
        <f>VLOOKUP(I4,VENTA,19)</f>
        <v>0</v>
      </c>
      <c r="G20" s="240"/>
      <c r="H20" s="18">
        <f>VLOOKUP(I4,VENTA,20)</f>
        <v>0</v>
      </c>
      <c r="I20" s="242">
        <f>VLOOKUP(I4,VENTA,21)</f>
        <v>0</v>
      </c>
      <c r="J20" s="243"/>
      <c r="AZ20" s="199">
        <v>0</v>
      </c>
    </row>
    <row r="21" spans="2:52">
      <c r="B21" s="17">
        <f>VLOOKUP(I4,VENTA,22)</f>
        <v>0</v>
      </c>
      <c r="C21" s="238">
        <f>VLOOKUP(I4,VENTA,23)</f>
        <v>0</v>
      </c>
      <c r="D21" s="239"/>
      <c r="E21" s="240"/>
      <c r="F21" s="238">
        <f>VLOOKUP(I4,VENTA,24)</f>
        <v>0</v>
      </c>
      <c r="G21" s="240"/>
      <c r="H21" s="18">
        <f>VLOOKUP(I4,VENTA,25)</f>
        <v>0</v>
      </c>
      <c r="I21" s="242">
        <f>VLOOKUP(I4,VENTA,26)</f>
        <v>0</v>
      </c>
      <c r="J21" s="243"/>
    </row>
    <row r="22" spans="2:52">
      <c r="B22" s="20"/>
      <c r="C22" s="238"/>
      <c r="D22" s="239"/>
      <c r="E22" s="240"/>
      <c r="F22" s="238"/>
      <c r="G22" s="240"/>
      <c r="H22" s="18"/>
      <c r="I22" s="242"/>
      <c r="J22" s="243"/>
    </row>
    <row r="23" spans="2:52">
      <c r="B23" s="20"/>
      <c r="C23" s="238"/>
      <c r="D23" s="239"/>
      <c r="E23" s="240"/>
      <c r="F23" s="238"/>
      <c r="G23" s="240"/>
      <c r="H23" s="18"/>
      <c r="I23" s="242"/>
      <c r="J23" s="243"/>
    </row>
    <row r="24" spans="2:52">
      <c r="B24" s="20"/>
      <c r="C24" s="238"/>
      <c r="D24" s="239"/>
      <c r="E24" s="240"/>
      <c r="F24" s="238"/>
      <c r="G24" s="240"/>
      <c r="H24" s="18"/>
      <c r="I24" s="242"/>
      <c r="J24" s="243"/>
    </row>
    <row r="25" spans="2:52">
      <c r="B25" s="20"/>
      <c r="C25" s="238"/>
      <c r="D25" s="239"/>
      <c r="E25" s="240"/>
      <c r="F25" s="238"/>
      <c r="G25" s="240"/>
      <c r="H25" s="18"/>
      <c r="I25" s="242"/>
      <c r="J25" s="243"/>
    </row>
    <row r="26" spans="2:52">
      <c r="B26" s="20"/>
      <c r="C26" s="238"/>
      <c r="D26" s="239"/>
      <c r="E26" s="240"/>
      <c r="F26" s="238"/>
      <c r="G26" s="240"/>
      <c r="H26" s="18"/>
      <c r="I26" s="242"/>
      <c r="J26" s="243"/>
    </row>
    <row r="27" spans="2:52" ht="15" thickBot="1">
      <c r="B27" s="21"/>
      <c r="C27" s="251"/>
      <c r="D27" s="252"/>
      <c r="E27" s="253"/>
      <c r="F27" s="254"/>
      <c r="G27" s="253"/>
      <c r="H27" s="22"/>
      <c r="I27" s="255"/>
      <c r="J27" s="256"/>
    </row>
    <row r="28" spans="2:52">
      <c r="B28" s="258" t="s">
        <v>18</v>
      </c>
      <c r="C28" s="215"/>
      <c r="D28" s="215"/>
      <c r="E28" s="215"/>
      <c r="F28" s="215"/>
      <c r="G28" s="215"/>
      <c r="H28" s="23" t="s">
        <v>19</v>
      </c>
      <c r="I28" s="259">
        <f>VLOOKUP(I4,VENTA,28)</f>
        <v>37500</v>
      </c>
      <c r="J28" s="250"/>
    </row>
    <row r="29" spans="2:52">
      <c r="B29" s="260" t="str">
        <f>VLOOKUP(I4,VENTA,27)</f>
        <v>CUARENTA Y SEIS MIL PESOS</v>
      </c>
      <c r="C29" s="215"/>
      <c r="D29" s="215"/>
      <c r="E29" s="215"/>
      <c r="F29" s="215"/>
      <c r="G29" s="261"/>
      <c r="H29" s="24" t="s">
        <v>20</v>
      </c>
      <c r="I29" s="262">
        <f>VLOOKUP(I4,VENTA,29)</f>
        <v>7125</v>
      </c>
      <c r="J29" s="243"/>
    </row>
    <row r="30" spans="2:52">
      <c r="B30" s="25"/>
      <c r="C30" s="10"/>
      <c r="D30" s="10"/>
      <c r="E30" s="10"/>
      <c r="F30" s="10"/>
      <c r="G30" s="26"/>
      <c r="H30" s="27" t="s">
        <v>21</v>
      </c>
      <c r="I30" s="262">
        <f>VLOOKUP(I4,VENTA,30)</f>
        <v>937.5</v>
      </c>
      <c r="J30" s="243"/>
    </row>
    <row r="31" spans="2:52">
      <c r="B31" s="25"/>
      <c r="C31" s="10"/>
      <c r="D31" s="10"/>
      <c r="E31" s="10"/>
      <c r="F31" s="10"/>
      <c r="G31" s="26"/>
      <c r="H31" s="27">
        <v>31</v>
      </c>
      <c r="I31" s="262">
        <f>VLOOKUP(I4,VENTA,31)</f>
        <v>414</v>
      </c>
      <c r="J31" s="243"/>
    </row>
    <row r="32" spans="2:52" ht="15" thickBot="1">
      <c r="B32" s="263"/>
      <c r="C32" s="264"/>
      <c r="D32" s="264"/>
      <c r="E32" s="264"/>
      <c r="F32" s="264"/>
      <c r="G32" s="265"/>
      <c r="H32" s="28" t="s">
        <v>23</v>
      </c>
      <c r="I32" s="266">
        <f>VLOOKUP(I4,VENTA,32)</f>
        <v>45976.5</v>
      </c>
      <c r="J32" s="256"/>
    </row>
    <row r="33" spans="2:10" ht="15" thickBot="1">
      <c r="B33" s="267" t="s">
        <v>24</v>
      </c>
      <c r="C33" s="268"/>
      <c r="D33" s="268"/>
      <c r="E33" s="268"/>
      <c r="F33" s="268"/>
      <c r="G33" s="268"/>
      <c r="H33" s="268"/>
      <c r="I33" s="268"/>
      <c r="J33" s="269"/>
    </row>
    <row r="34" spans="2:10">
      <c r="B34" s="270" t="s">
        <v>25</v>
      </c>
      <c r="C34" s="248"/>
      <c r="D34" s="248"/>
      <c r="E34" s="248"/>
      <c r="F34" s="271" t="s">
        <v>26</v>
      </c>
      <c r="G34" s="248"/>
      <c r="H34" s="248"/>
      <c r="I34" s="248"/>
      <c r="J34" s="250"/>
    </row>
    <row r="35" spans="2:10">
      <c r="B35" s="8"/>
      <c r="C35" s="9"/>
      <c r="D35" s="9"/>
      <c r="E35" s="9"/>
      <c r="F35" s="29"/>
      <c r="G35" s="9"/>
      <c r="H35" s="9"/>
      <c r="I35" s="9"/>
      <c r="J35" s="11"/>
    </row>
    <row r="36" spans="2:10">
      <c r="B36" s="8"/>
      <c r="C36" s="9"/>
      <c r="D36" s="9"/>
      <c r="E36" s="9"/>
      <c r="F36" s="29"/>
      <c r="G36" s="9"/>
      <c r="H36" s="9"/>
      <c r="I36" s="9"/>
      <c r="J36" s="11"/>
    </row>
    <row r="37" spans="2:10">
      <c r="B37" s="8"/>
      <c r="C37" s="9"/>
      <c r="D37" s="9"/>
      <c r="E37" s="9"/>
      <c r="F37" s="29"/>
      <c r="G37" s="9"/>
      <c r="H37" s="9"/>
      <c r="I37" s="9"/>
      <c r="J37" s="11"/>
    </row>
    <row r="38" spans="2:10" ht="15" thickBot="1">
      <c r="B38" s="30"/>
      <c r="C38" s="31"/>
      <c r="D38" s="31"/>
      <c r="E38" s="31"/>
      <c r="F38" s="32"/>
      <c r="G38" s="31"/>
      <c r="H38" s="31"/>
      <c r="I38" s="31"/>
      <c r="J38" s="33"/>
    </row>
    <row r="39" spans="2:10">
      <c r="B39" s="257" t="s">
        <v>27</v>
      </c>
      <c r="C39" s="224"/>
      <c r="D39" s="224"/>
      <c r="E39" s="224"/>
      <c r="F39" s="224"/>
      <c r="G39" s="224"/>
      <c r="H39" s="224"/>
      <c r="I39" s="224"/>
      <c r="J39" s="224"/>
    </row>
  </sheetData>
  <mergeCells count="66">
    <mergeCell ref="B39:J39"/>
    <mergeCell ref="B28:G28"/>
    <mergeCell ref="I28:J28"/>
    <mergeCell ref="B29:G29"/>
    <mergeCell ref="I29:J29"/>
    <mergeCell ref="I30:J30"/>
    <mergeCell ref="I31:J31"/>
    <mergeCell ref="B32:G32"/>
    <mergeCell ref="I32:J32"/>
    <mergeCell ref="B33:J33"/>
    <mergeCell ref="B34:E34"/>
    <mergeCell ref="F34:J34"/>
    <mergeCell ref="C26:E26"/>
    <mergeCell ref="F26:G26"/>
    <mergeCell ref="I26:J26"/>
    <mergeCell ref="C27:E27"/>
    <mergeCell ref="F27:G27"/>
    <mergeCell ref="I27:J27"/>
    <mergeCell ref="C24:E24"/>
    <mergeCell ref="F24:G24"/>
    <mergeCell ref="I24:J24"/>
    <mergeCell ref="C25:E25"/>
    <mergeCell ref="F25:G25"/>
    <mergeCell ref="I25:J25"/>
    <mergeCell ref="C22:E22"/>
    <mergeCell ref="F22:G22"/>
    <mergeCell ref="I22:J22"/>
    <mergeCell ref="C23:E23"/>
    <mergeCell ref="F23:G23"/>
    <mergeCell ref="I23:J23"/>
    <mergeCell ref="C20:E20"/>
    <mergeCell ref="F20:G20"/>
    <mergeCell ref="I20:J20"/>
    <mergeCell ref="C21:E21"/>
    <mergeCell ref="F21:G21"/>
    <mergeCell ref="I21:J21"/>
    <mergeCell ref="C19:E19"/>
    <mergeCell ref="F19:G19"/>
    <mergeCell ref="I19:J19"/>
    <mergeCell ref="C13:E13"/>
    <mergeCell ref="G13:J13"/>
    <mergeCell ref="C14:E14"/>
    <mergeCell ref="G14:J14"/>
    <mergeCell ref="C15:E15"/>
    <mergeCell ref="G15:J15"/>
    <mergeCell ref="C16:E16"/>
    <mergeCell ref="G16:J16"/>
    <mergeCell ref="C18:E18"/>
    <mergeCell ref="F18:G18"/>
    <mergeCell ref="I18:J18"/>
    <mergeCell ref="G11:J11"/>
    <mergeCell ref="B2:C9"/>
    <mergeCell ref="D2:F2"/>
    <mergeCell ref="G2:J3"/>
    <mergeCell ref="D3:F3"/>
    <mergeCell ref="D4:F4"/>
    <mergeCell ref="D5:F5"/>
    <mergeCell ref="D6:F6"/>
    <mergeCell ref="D7:F7"/>
    <mergeCell ref="G7:H8"/>
    <mergeCell ref="I7:J8"/>
    <mergeCell ref="D8:F8"/>
    <mergeCell ref="D9:F9"/>
    <mergeCell ref="G9:H9"/>
    <mergeCell ref="I9:J9"/>
    <mergeCell ref="G10:J10"/>
  </mergeCells>
  <hyperlinks>
    <hyperlink ref="D6" r:id="rId1" xr:uid="{B9128937-7032-44B0-982D-1674052A60DF}"/>
    <hyperlink ref="AI4" r:id="rId2" xr:uid="{8ACC1E18-2692-4B1A-A358-438CE07560BD}"/>
  </hyperlinks>
  <pageMargins left="0.7" right="0.7" top="0.75" bottom="0.75" header="0.3" footer="0.3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BBF7-DE22-4DF0-A6DC-FCC8699B0158}">
  <dimension ref="B1:AX35"/>
  <sheetViews>
    <sheetView tabSelected="1" zoomScale="89" zoomScaleNormal="89" workbookViewId="0">
      <selection activeCell="O10" sqref="O10"/>
    </sheetView>
  </sheetViews>
  <sheetFormatPr baseColWidth="10" defaultRowHeight="14.4"/>
  <cols>
    <col min="1" max="1" width="3.5546875" customWidth="1"/>
    <col min="2" max="2" width="2.88671875" customWidth="1"/>
    <col min="3" max="3" width="31.33203125" customWidth="1"/>
    <col min="28" max="28" width="18.44140625" customWidth="1"/>
    <col min="29" max="29" width="16.33203125" customWidth="1"/>
    <col min="30" max="30" width="17.6640625" customWidth="1"/>
    <col min="31" max="31" width="15.88671875" customWidth="1"/>
    <col min="32" max="32" width="19.33203125" customWidth="1"/>
    <col min="33" max="33" width="17.44140625" customWidth="1"/>
    <col min="34" max="34" width="23.109375" customWidth="1"/>
    <col min="36" max="36" width="20.44140625" customWidth="1"/>
    <col min="37" max="37" width="15.88671875" customWidth="1"/>
    <col min="41" max="41" width="14.33203125" customWidth="1"/>
    <col min="50" max="50" width="24" customWidth="1"/>
  </cols>
  <sheetData>
    <row r="1" spans="2:50" ht="15" thickBot="1">
      <c r="AA1" s="190" t="s">
        <v>123</v>
      </c>
      <c r="AB1" s="190" t="s">
        <v>140</v>
      </c>
      <c r="AC1" s="190" t="s">
        <v>119</v>
      </c>
      <c r="AD1" s="190" t="s">
        <v>141</v>
      </c>
      <c r="AE1" s="190" t="s">
        <v>142</v>
      </c>
      <c r="AF1" s="190" t="s">
        <v>112</v>
      </c>
      <c r="AG1" s="190" t="s">
        <v>143</v>
      </c>
      <c r="AH1" s="190" t="s">
        <v>144</v>
      </c>
      <c r="AI1" s="190" t="s">
        <v>40</v>
      </c>
      <c r="AJ1" s="190" t="s">
        <v>41</v>
      </c>
      <c r="AK1" s="190" t="s">
        <v>70</v>
      </c>
      <c r="AL1" s="190" t="s">
        <v>43</v>
      </c>
      <c r="AM1" s="190" t="s">
        <v>145</v>
      </c>
      <c r="AN1" s="190" t="s">
        <v>146</v>
      </c>
      <c r="AO1" s="190" t="s">
        <v>147</v>
      </c>
      <c r="AP1" s="190" t="s">
        <v>148</v>
      </c>
      <c r="AQ1" s="190" t="s">
        <v>149</v>
      </c>
      <c r="AR1" s="190" t="s">
        <v>150</v>
      </c>
      <c r="AS1" s="190" t="s">
        <v>151</v>
      </c>
      <c r="AT1" s="190" t="s">
        <v>46</v>
      </c>
      <c r="AU1" s="190" t="s">
        <v>152</v>
      </c>
      <c r="AV1" s="190" t="s">
        <v>153</v>
      </c>
      <c r="AW1" s="190" t="s">
        <v>154</v>
      </c>
      <c r="AX1" s="190" t="s">
        <v>155</v>
      </c>
    </row>
    <row r="2" spans="2:50">
      <c r="B2" s="34"/>
      <c r="C2" s="35"/>
      <c r="D2" s="35"/>
      <c r="E2" s="35"/>
      <c r="F2" s="35"/>
      <c r="G2" s="35"/>
      <c r="H2" s="35"/>
      <c r="I2" s="35"/>
      <c r="J2" s="35"/>
      <c r="K2" s="35"/>
      <c r="L2" s="36"/>
      <c r="AA2">
        <v>1</v>
      </c>
      <c r="AB2">
        <v>2</v>
      </c>
      <c r="AC2">
        <v>3</v>
      </c>
      <c r="AD2" s="1">
        <v>4</v>
      </c>
      <c r="AE2" s="1">
        <v>5</v>
      </c>
      <c r="AF2" s="1">
        <v>6</v>
      </c>
      <c r="AG2" s="1">
        <v>7</v>
      </c>
      <c r="AH2" s="1">
        <v>8</v>
      </c>
      <c r="AI2" s="1">
        <v>9</v>
      </c>
      <c r="AJ2" s="1">
        <v>10</v>
      </c>
      <c r="AK2" s="1">
        <v>11</v>
      </c>
      <c r="AL2" s="1">
        <v>12</v>
      </c>
      <c r="AM2" s="1">
        <v>13</v>
      </c>
      <c r="AN2" s="1">
        <v>14</v>
      </c>
      <c r="AO2" s="1">
        <v>15</v>
      </c>
      <c r="AP2" s="1">
        <v>16</v>
      </c>
      <c r="AQ2" s="1">
        <v>17</v>
      </c>
      <c r="AR2" s="1">
        <v>18</v>
      </c>
      <c r="AS2" s="1">
        <v>19</v>
      </c>
      <c r="AT2" s="1">
        <v>20</v>
      </c>
      <c r="AU2" s="1">
        <v>21</v>
      </c>
      <c r="AV2" s="1">
        <v>22</v>
      </c>
      <c r="AW2" s="1">
        <v>23</v>
      </c>
      <c r="AX2" s="1">
        <v>24</v>
      </c>
    </row>
    <row r="3" spans="2:50">
      <c r="B3" s="8"/>
      <c r="C3" s="274"/>
      <c r="D3" s="275"/>
      <c r="E3" s="275"/>
      <c r="F3" s="275"/>
      <c r="G3" s="275"/>
      <c r="H3" s="275"/>
      <c r="I3" s="275"/>
      <c r="J3" s="275"/>
      <c r="K3" s="276"/>
      <c r="L3" s="11"/>
      <c r="AA3">
        <v>2</v>
      </c>
      <c r="AB3" t="s">
        <v>237</v>
      </c>
      <c r="AC3" s="201">
        <v>45347</v>
      </c>
      <c r="AD3" t="s">
        <v>245</v>
      </c>
      <c r="AE3" s="200">
        <v>80000</v>
      </c>
      <c r="AF3" t="s">
        <v>238</v>
      </c>
      <c r="AG3" t="s">
        <v>239</v>
      </c>
      <c r="AH3" t="s">
        <v>240</v>
      </c>
      <c r="AI3">
        <v>352304</v>
      </c>
      <c r="AJ3" t="s">
        <v>241</v>
      </c>
      <c r="AK3">
        <v>0</v>
      </c>
      <c r="AL3" s="200">
        <v>80000</v>
      </c>
      <c r="AM3" s="200">
        <f>AL3+AQ3</f>
        <v>80000</v>
      </c>
      <c r="AN3">
        <v>125623</v>
      </c>
      <c r="AO3" t="s">
        <v>242</v>
      </c>
      <c r="AP3" s="200">
        <v>80000</v>
      </c>
      <c r="AQ3">
        <v>0</v>
      </c>
      <c r="AR3" s="200">
        <f>AK3+AP3</f>
        <v>80000</v>
      </c>
      <c r="AT3" s="200">
        <v>80000</v>
      </c>
      <c r="AX3" t="s">
        <v>243</v>
      </c>
    </row>
    <row r="4" spans="2:50">
      <c r="B4" s="8"/>
      <c r="C4" s="277" t="s">
        <v>28</v>
      </c>
      <c r="D4" s="279" t="s">
        <v>288</v>
      </c>
      <c r="E4" s="215"/>
      <c r="F4" s="215"/>
      <c r="G4" s="220"/>
      <c r="H4" s="280" t="s">
        <v>32</v>
      </c>
      <c r="I4" s="226"/>
      <c r="J4" s="226"/>
      <c r="K4" s="227"/>
      <c r="L4" s="11"/>
    </row>
    <row r="5" spans="2:50">
      <c r="B5" s="8"/>
      <c r="C5" s="278"/>
      <c r="D5" s="231" t="s">
        <v>209</v>
      </c>
      <c r="E5" s="215"/>
      <c r="F5" s="215"/>
      <c r="G5" s="220"/>
      <c r="H5" s="228"/>
      <c r="I5" s="215"/>
      <c r="J5" s="215"/>
      <c r="K5" s="220"/>
      <c r="L5" s="11"/>
    </row>
    <row r="6" spans="2:50">
      <c r="B6" s="8"/>
      <c r="C6" s="278"/>
      <c r="D6" s="281" t="s">
        <v>210</v>
      </c>
      <c r="E6" s="215"/>
      <c r="F6" s="215"/>
      <c r="G6" s="220"/>
      <c r="H6" s="228"/>
      <c r="I6" s="215"/>
      <c r="J6" s="215"/>
      <c r="K6" s="220"/>
      <c r="L6" s="11"/>
    </row>
    <row r="7" spans="2:50">
      <c r="B7" s="8"/>
      <c r="C7" s="278"/>
      <c r="D7" s="231">
        <v>3213652025</v>
      </c>
      <c r="E7" s="215"/>
      <c r="F7" s="215"/>
      <c r="G7" s="220"/>
      <c r="H7" s="228"/>
      <c r="I7" s="215"/>
      <c r="J7" s="215"/>
      <c r="K7" s="220"/>
      <c r="L7" s="11"/>
    </row>
    <row r="8" spans="2:50" ht="17.399999999999999">
      <c r="B8" s="8"/>
      <c r="C8" s="278"/>
      <c r="D8" s="37"/>
      <c r="E8" s="38"/>
      <c r="F8" s="38"/>
      <c r="G8" s="39"/>
      <c r="H8" s="228"/>
      <c r="I8" s="215"/>
      <c r="J8" s="215"/>
      <c r="K8" s="220"/>
      <c r="L8" s="11"/>
    </row>
    <row r="9" spans="2:50" ht="24.6">
      <c r="B9" s="8"/>
      <c r="C9" s="278"/>
      <c r="D9" s="282" t="s">
        <v>213</v>
      </c>
      <c r="E9" s="283"/>
      <c r="F9" s="283"/>
      <c r="G9" s="222"/>
      <c r="H9" s="40" t="s">
        <v>2</v>
      </c>
      <c r="I9" s="41">
        <v>2</v>
      </c>
      <c r="J9" s="42"/>
      <c r="K9" s="43"/>
      <c r="L9" s="11"/>
    </row>
    <row r="10" spans="2:50">
      <c r="B10" s="8"/>
      <c r="C10" s="44" t="s">
        <v>33</v>
      </c>
      <c r="D10" s="285" t="str">
        <f>VLOOKUP(I9,C.INGRESO,2)</f>
        <v>TATIANA´BOUTIQUE</v>
      </c>
      <c r="E10" s="275"/>
      <c r="F10" s="275"/>
      <c r="G10" s="276"/>
      <c r="H10" s="45" t="s">
        <v>34</v>
      </c>
      <c r="I10" s="286">
        <f>VLOOKUP(I9,C.INGRESO,3)</f>
        <v>45347</v>
      </c>
      <c r="J10" s="275"/>
      <c r="K10" s="276"/>
      <c r="L10" s="11"/>
    </row>
    <row r="11" spans="2:50">
      <c r="B11" s="8"/>
      <c r="C11" s="44" t="s">
        <v>35</v>
      </c>
      <c r="D11" s="286" t="str">
        <f>VLOOKUP(I9,C.INGRESO,4)</f>
        <v>235765198-7</v>
      </c>
      <c r="E11" s="275"/>
      <c r="F11" s="275"/>
      <c r="G11" s="275"/>
      <c r="H11" s="276"/>
      <c r="I11" s="44" t="s">
        <v>36</v>
      </c>
      <c r="J11" s="46">
        <f>VLOOKUP(I9,C.INGRESO,5)</f>
        <v>80000</v>
      </c>
      <c r="K11" s="47"/>
      <c r="L11" s="48"/>
    </row>
    <row r="12" spans="2:50">
      <c r="B12" s="8"/>
      <c r="C12" s="44" t="s">
        <v>37</v>
      </c>
      <c r="D12" s="286" t="str">
        <f>VLOOKUP(I9,C.INGRESO,6)</f>
        <v>TV 59 B N0 34 SUR</v>
      </c>
      <c r="E12" s="275"/>
      <c r="F12" s="275"/>
      <c r="G12" s="275"/>
      <c r="H12" s="275"/>
      <c r="I12" s="275"/>
      <c r="J12" s="275"/>
      <c r="K12" s="276"/>
      <c r="L12" s="11"/>
    </row>
    <row r="13" spans="2:50">
      <c r="B13" s="8"/>
      <c r="C13" s="49" t="s">
        <v>38</v>
      </c>
      <c r="D13" s="50"/>
      <c r="E13" s="287" t="str">
        <f>VLOOKUP(I9,C.INGRESO,7)</f>
        <v>OCHENTA MIL</v>
      </c>
      <c r="F13" s="275"/>
      <c r="G13" s="275"/>
      <c r="H13" s="275"/>
      <c r="I13" s="275"/>
      <c r="J13" s="275"/>
      <c r="K13" s="276"/>
      <c r="L13" s="11"/>
    </row>
    <row r="14" spans="2:50">
      <c r="B14" s="8"/>
      <c r="C14" s="49" t="s">
        <v>39</v>
      </c>
      <c r="D14" s="287" t="str">
        <f>VLOOKUP(I9,C.INGRESO,8)</f>
        <v>VENTA AL POR MAYOR</v>
      </c>
      <c r="E14" s="275"/>
      <c r="F14" s="275"/>
      <c r="G14" s="275"/>
      <c r="H14" s="275"/>
      <c r="I14" s="275"/>
      <c r="J14" s="275"/>
      <c r="K14" s="276"/>
      <c r="L14" s="11"/>
    </row>
    <row r="15" spans="2:50">
      <c r="B15" s="8"/>
      <c r="C15" s="288"/>
      <c r="D15" s="215"/>
      <c r="E15" s="215"/>
      <c r="F15" s="215"/>
      <c r="G15" s="215"/>
      <c r="H15" s="215"/>
      <c r="I15" s="215"/>
      <c r="J15" s="215"/>
      <c r="K15" s="220"/>
      <c r="L15" s="11"/>
    </row>
    <row r="16" spans="2:50">
      <c r="B16" s="8"/>
      <c r="C16" s="51" t="s">
        <v>40</v>
      </c>
      <c r="D16" s="289" t="s">
        <v>41</v>
      </c>
      <c r="E16" s="275"/>
      <c r="F16" s="275"/>
      <c r="G16" s="275"/>
      <c r="H16" s="275"/>
      <c r="I16" s="276"/>
      <c r="J16" s="51" t="s">
        <v>42</v>
      </c>
      <c r="K16" s="51" t="s">
        <v>43</v>
      </c>
      <c r="L16" s="11"/>
    </row>
    <row r="17" spans="2:12">
      <c r="B17" s="8"/>
      <c r="C17" s="52">
        <f>VLOOKUP(I9,C.INGRESO,9)</f>
        <v>352304</v>
      </c>
      <c r="D17" s="284" t="str">
        <f>VLOOKUP(I9,C.INGRESO,10)</f>
        <v xml:space="preserve"> AREPAS DE MAIZ</v>
      </c>
      <c r="E17" s="275"/>
      <c r="F17" s="275"/>
      <c r="G17" s="275"/>
      <c r="H17" s="275"/>
      <c r="I17" s="276"/>
      <c r="J17" s="53">
        <f>VLOOKUP(I9,C.INGRESO,11)</f>
        <v>0</v>
      </c>
      <c r="K17" s="53">
        <f>VLOOKUP(I9,C.INGRESO,12)</f>
        <v>80000</v>
      </c>
      <c r="L17" s="11"/>
    </row>
    <row r="18" spans="2:12">
      <c r="B18" s="8"/>
      <c r="C18" s="54">
        <f>VLOOKUP(I9,C.INGRESO,14)</f>
        <v>125623</v>
      </c>
      <c r="D18" s="284" t="str">
        <f>VLOOKUP(I9,C.INGRESO,15)</f>
        <v>CAJA GENERAL</v>
      </c>
      <c r="E18" s="275"/>
      <c r="F18" s="275"/>
      <c r="G18" s="275"/>
      <c r="H18" s="275"/>
      <c r="I18" s="276"/>
      <c r="J18" s="53">
        <f>VLOOKUP(I9,C.INGRESO,16)</f>
        <v>80000</v>
      </c>
      <c r="K18" s="53">
        <f>VLOOKUP(I9,C.INGRESO,17)</f>
        <v>0</v>
      </c>
      <c r="L18" s="11"/>
    </row>
    <row r="19" spans="2:12">
      <c r="B19" s="8"/>
      <c r="C19" s="55"/>
      <c r="D19" s="284"/>
      <c r="E19" s="275"/>
      <c r="F19" s="275"/>
      <c r="G19" s="275"/>
      <c r="H19" s="275"/>
      <c r="I19" s="276"/>
      <c r="J19" s="53"/>
      <c r="K19" s="53"/>
      <c r="L19" s="11"/>
    </row>
    <row r="20" spans="2:12">
      <c r="B20" s="8"/>
      <c r="C20" s="55"/>
      <c r="D20" s="284"/>
      <c r="E20" s="275"/>
      <c r="F20" s="275"/>
      <c r="G20" s="275"/>
      <c r="H20" s="275"/>
      <c r="I20" s="276"/>
      <c r="J20" s="53"/>
      <c r="K20" s="53"/>
      <c r="L20" s="11"/>
    </row>
    <row r="21" spans="2:12">
      <c r="B21" s="8"/>
      <c r="C21" s="56"/>
      <c r="D21" s="290"/>
      <c r="E21" s="275"/>
      <c r="F21" s="275"/>
      <c r="G21" s="275"/>
      <c r="H21" s="275"/>
      <c r="I21" s="276"/>
      <c r="J21" s="57"/>
      <c r="K21" s="57"/>
      <c r="L21" s="11"/>
    </row>
    <row r="22" spans="2:12">
      <c r="B22" s="8"/>
      <c r="C22" s="56"/>
      <c r="D22" s="290"/>
      <c r="E22" s="275"/>
      <c r="F22" s="275"/>
      <c r="G22" s="275"/>
      <c r="H22" s="275"/>
      <c r="I22" s="276"/>
      <c r="J22" s="57"/>
      <c r="K22" s="57"/>
      <c r="L22" s="11"/>
    </row>
    <row r="23" spans="2:12" ht="15" thickBot="1">
      <c r="B23" s="8"/>
      <c r="C23" s="56"/>
      <c r="D23" s="290"/>
      <c r="E23" s="275"/>
      <c r="F23" s="275"/>
      <c r="G23" s="275"/>
      <c r="H23" s="275"/>
      <c r="I23" s="276"/>
      <c r="J23" s="58"/>
      <c r="K23" s="58"/>
      <c r="L23" s="11"/>
    </row>
    <row r="24" spans="2:12" ht="15" thickBot="1">
      <c r="B24" s="8"/>
      <c r="C24" s="291" t="s">
        <v>44</v>
      </c>
      <c r="D24" s="275"/>
      <c r="E24" s="275"/>
      <c r="F24" s="275"/>
      <c r="G24" s="275"/>
      <c r="H24" s="275"/>
      <c r="I24" s="275"/>
      <c r="J24" s="59">
        <f>VLOOKUP(I9,C.INGRESO,13)</f>
        <v>80000</v>
      </c>
      <c r="K24" s="60">
        <f>VLOOKUP(I9,C.INGRESO,18)</f>
        <v>80000</v>
      </c>
      <c r="L24" s="11"/>
    </row>
    <row r="25" spans="2:12">
      <c r="B25" s="8"/>
      <c r="C25" s="61" t="s">
        <v>45</v>
      </c>
      <c r="D25" s="290">
        <f>VLOOKUP(I9,C.INGRESO,19)</f>
        <v>0</v>
      </c>
      <c r="E25" s="276"/>
      <c r="F25" s="292" t="s">
        <v>46</v>
      </c>
      <c r="G25" s="292">
        <f>VLOOKUP(I9,C.INGRESO,20)</f>
        <v>80000</v>
      </c>
      <c r="H25" s="294" t="s">
        <v>47</v>
      </c>
      <c r="I25" s="275"/>
      <c r="J25" s="275"/>
      <c r="K25" s="276"/>
      <c r="L25" s="11"/>
    </row>
    <row r="26" spans="2:12">
      <c r="B26" s="8"/>
      <c r="C26" s="61" t="s">
        <v>48</v>
      </c>
      <c r="D26" s="290">
        <f>VLOOKUP(I9,C.INGRESO,21)</f>
        <v>0</v>
      </c>
      <c r="E26" s="276"/>
      <c r="F26" s="278"/>
      <c r="G26" s="278"/>
      <c r="H26" s="295"/>
      <c r="I26" s="226"/>
      <c r="J26" s="226"/>
      <c r="K26" s="227"/>
      <c r="L26" s="11"/>
    </row>
    <row r="27" spans="2:12">
      <c r="B27" s="8"/>
      <c r="C27" s="61" t="s">
        <v>49</v>
      </c>
      <c r="D27" s="297">
        <f>VLOOKUP(I9,C.INGRESO,22)</f>
        <v>0</v>
      </c>
      <c r="E27" s="276"/>
      <c r="F27" s="278"/>
      <c r="G27" s="278"/>
      <c r="H27" s="228"/>
      <c r="I27" s="215"/>
      <c r="J27" s="215"/>
      <c r="K27" s="220"/>
      <c r="L27" s="11"/>
    </row>
    <row r="28" spans="2:12">
      <c r="B28" s="8"/>
      <c r="C28" s="61" t="s">
        <v>50</v>
      </c>
      <c r="D28" s="290">
        <f>VLOOKUP(I9,C.INGRESO,23)</f>
        <v>0</v>
      </c>
      <c r="E28" s="276"/>
      <c r="F28" s="293"/>
      <c r="G28" s="293"/>
      <c r="H28" s="228"/>
      <c r="I28" s="215"/>
      <c r="J28" s="215"/>
      <c r="K28" s="220"/>
      <c r="L28" s="11"/>
    </row>
    <row r="29" spans="2:12">
      <c r="B29" s="8"/>
      <c r="C29" s="61" t="s">
        <v>51</v>
      </c>
      <c r="D29" s="290" t="str">
        <f>VLOOKUP(I9,C.INGRESO,24)</f>
        <v>DOMICILIO ENTREGADO</v>
      </c>
      <c r="E29" s="275"/>
      <c r="F29" s="275"/>
      <c r="G29" s="276"/>
      <c r="H29" s="228"/>
      <c r="I29" s="215"/>
      <c r="J29" s="215"/>
      <c r="K29" s="220"/>
      <c r="L29" s="11"/>
    </row>
    <row r="30" spans="2:12">
      <c r="B30" s="8"/>
      <c r="C30" s="295"/>
      <c r="D30" s="226"/>
      <c r="E30" s="226"/>
      <c r="F30" s="226"/>
      <c r="G30" s="227"/>
      <c r="H30" s="296"/>
      <c r="I30" s="283"/>
      <c r="J30" s="283"/>
      <c r="K30" s="222"/>
      <c r="L30" s="11"/>
    </row>
    <row r="31" spans="2:12">
      <c r="B31" s="8"/>
      <c r="C31" s="228"/>
      <c r="D31" s="215"/>
      <c r="E31" s="215"/>
      <c r="F31" s="215"/>
      <c r="G31" s="220"/>
      <c r="H31" s="61" t="s">
        <v>52</v>
      </c>
      <c r="I31" s="290"/>
      <c r="J31" s="275"/>
      <c r="K31" s="276"/>
      <c r="L31" s="11"/>
    </row>
    <row r="32" spans="2:12">
      <c r="B32" s="8"/>
      <c r="C32" s="296"/>
      <c r="D32" s="283"/>
      <c r="E32" s="283"/>
      <c r="F32" s="283"/>
      <c r="G32" s="222"/>
      <c r="H32" s="61" t="s">
        <v>53</v>
      </c>
      <c r="I32" s="56"/>
      <c r="J32" s="56"/>
      <c r="K32" s="56"/>
      <c r="L32" s="11"/>
    </row>
    <row r="33" spans="2:12">
      <c r="B33" s="8"/>
      <c r="C33" s="290" t="s">
        <v>54</v>
      </c>
      <c r="D33" s="276"/>
      <c r="E33" s="290" t="s">
        <v>55</v>
      </c>
      <c r="F33" s="275"/>
      <c r="G33" s="276"/>
      <c r="H33" s="290" t="s">
        <v>56</v>
      </c>
      <c r="I33" s="276"/>
      <c r="J33" s="290" t="s">
        <v>57</v>
      </c>
      <c r="K33" s="276"/>
      <c r="L33" s="11"/>
    </row>
    <row r="34" spans="2:12">
      <c r="B34" s="8"/>
      <c r="C34" s="290"/>
      <c r="D34" s="276"/>
      <c r="E34" s="290"/>
      <c r="F34" s="275"/>
      <c r="G34" s="276"/>
      <c r="H34" s="290"/>
      <c r="I34" s="276"/>
      <c r="J34" s="290"/>
      <c r="K34" s="276"/>
      <c r="L34" s="11"/>
    </row>
    <row r="35" spans="2:12" ht="15" thickBot="1"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3"/>
    </row>
  </sheetData>
  <mergeCells count="43">
    <mergeCell ref="C34:D34"/>
    <mergeCell ref="E34:G34"/>
    <mergeCell ref="H34:I34"/>
    <mergeCell ref="J34:K34"/>
    <mergeCell ref="D27:E27"/>
    <mergeCell ref="D28:E28"/>
    <mergeCell ref="D29:G29"/>
    <mergeCell ref="C30:G32"/>
    <mergeCell ref="I31:K31"/>
    <mergeCell ref="C33:D33"/>
    <mergeCell ref="E33:G33"/>
    <mergeCell ref="H33:I33"/>
    <mergeCell ref="J33:K33"/>
    <mergeCell ref="D21:I21"/>
    <mergeCell ref="D22:I22"/>
    <mergeCell ref="D23:I23"/>
    <mergeCell ref="C24:I24"/>
    <mergeCell ref="D25:E25"/>
    <mergeCell ref="F25:F28"/>
    <mergeCell ref="G25:G28"/>
    <mergeCell ref="H25:K25"/>
    <mergeCell ref="D26:E26"/>
    <mergeCell ref="H26:K30"/>
    <mergeCell ref="D20:I20"/>
    <mergeCell ref="D10:G10"/>
    <mergeCell ref="I10:K10"/>
    <mergeCell ref="D11:H11"/>
    <mergeCell ref="D12:K12"/>
    <mergeCell ref="E13:K13"/>
    <mergeCell ref="D14:K14"/>
    <mergeCell ref="C15:K15"/>
    <mergeCell ref="D16:I16"/>
    <mergeCell ref="D17:I17"/>
    <mergeCell ref="D18:I18"/>
    <mergeCell ref="D19:I19"/>
    <mergeCell ref="C3:K3"/>
    <mergeCell ref="C4:C9"/>
    <mergeCell ref="D4:G4"/>
    <mergeCell ref="H4:K8"/>
    <mergeCell ref="D5:G5"/>
    <mergeCell ref="D6:G6"/>
    <mergeCell ref="D7:G7"/>
    <mergeCell ref="D9:G9"/>
  </mergeCells>
  <hyperlinks>
    <hyperlink ref="D9" r:id="rId1" xr:uid="{D808AA89-11CB-4AC5-8F02-96C1C5F0BF24}"/>
  </hyperlinks>
  <pageMargins left="0.7" right="0.7" top="0.75" bottom="0.75" header="0.3" footer="0.3"/>
  <pageSetup orientation="portrait" horizontalDpi="4294967294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1BE9-C791-48A9-AE53-09715AFBFDCC}">
  <dimension ref="B1:AX34"/>
  <sheetViews>
    <sheetView zoomScale="96" zoomScaleNormal="96" workbookViewId="0">
      <selection activeCell="N9" sqref="N9"/>
    </sheetView>
  </sheetViews>
  <sheetFormatPr baseColWidth="10" defaultRowHeight="14.4"/>
  <cols>
    <col min="1" max="1" width="3.5546875" customWidth="1"/>
    <col min="2" max="2" width="2.6640625" customWidth="1"/>
    <col min="3" max="3" width="29.5546875" customWidth="1"/>
    <col min="30" max="30" width="16.5546875" customWidth="1"/>
    <col min="31" max="31" width="18.88671875" customWidth="1"/>
    <col min="32" max="32" width="18.33203125" customWidth="1"/>
    <col min="33" max="33" width="21.88671875" customWidth="1"/>
    <col min="34" max="34" width="23.33203125" customWidth="1"/>
    <col min="36" max="36" width="21.88671875" customWidth="1"/>
    <col min="37" max="37" width="21.109375" customWidth="1"/>
    <col min="41" max="41" width="16.44140625" customWidth="1"/>
    <col min="43" max="43" width="13.5546875" customWidth="1"/>
    <col min="45" max="45" width="17.33203125" customWidth="1"/>
    <col min="47" max="47" width="16.109375" customWidth="1"/>
    <col min="50" max="50" width="18.5546875" customWidth="1"/>
  </cols>
  <sheetData>
    <row r="1" spans="2:50" ht="15" thickBot="1">
      <c r="AA1" s="9" t="s">
        <v>123</v>
      </c>
      <c r="AB1" s="9" t="s">
        <v>156</v>
      </c>
      <c r="AC1" s="63" t="s">
        <v>119</v>
      </c>
      <c r="AD1" s="9" t="s">
        <v>127</v>
      </c>
      <c r="AE1" s="9" t="s">
        <v>142</v>
      </c>
      <c r="AF1" s="9" t="s">
        <v>112</v>
      </c>
      <c r="AG1" s="9" t="s">
        <v>143</v>
      </c>
      <c r="AH1" s="9" t="s">
        <v>157</v>
      </c>
      <c r="AI1" s="9" t="s">
        <v>40</v>
      </c>
      <c r="AJ1" s="9" t="s">
        <v>41</v>
      </c>
      <c r="AK1" s="9" t="s">
        <v>70</v>
      </c>
      <c r="AL1" s="9" t="s">
        <v>43</v>
      </c>
      <c r="AM1" s="9" t="s">
        <v>145</v>
      </c>
      <c r="AN1" s="9" t="s">
        <v>146</v>
      </c>
      <c r="AO1" s="9" t="s">
        <v>147</v>
      </c>
      <c r="AP1" s="9" t="s">
        <v>158</v>
      </c>
      <c r="AQ1" s="9" t="s">
        <v>159</v>
      </c>
      <c r="AR1" s="9" t="s">
        <v>150</v>
      </c>
      <c r="AS1" s="9" t="s">
        <v>151</v>
      </c>
      <c r="AT1" s="9" t="s">
        <v>46</v>
      </c>
      <c r="AU1" s="9" t="s">
        <v>152</v>
      </c>
      <c r="AV1" s="9" t="s">
        <v>153</v>
      </c>
      <c r="AW1" s="9" t="s">
        <v>154</v>
      </c>
      <c r="AX1" s="9" t="s">
        <v>155</v>
      </c>
    </row>
    <row r="2" spans="2:50">
      <c r="B2" s="34"/>
      <c r="C2" s="35"/>
      <c r="D2" s="35"/>
      <c r="E2" s="35"/>
      <c r="F2" s="35"/>
      <c r="G2" s="35"/>
      <c r="H2" s="35"/>
      <c r="I2" s="35"/>
      <c r="J2" s="35"/>
      <c r="K2" s="35"/>
      <c r="L2" s="36"/>
      <c r="AA2">
        <v>1</v>
      </c>
      <c r="AB2">
        <v>2</v>
      </c>
      <c r="AC2">
        <v>3</v>
      </c>
      <c r="AD2" s="1">
        <v>4</v>
      </c>
      <c r="AE2" s="1">
        <v>5</v>
      </c>
      <c r="AF2" s="1">
        <v>6</v>
      </c>
      <c r="AG2" s="1">
        <v>7</v>
      </c>
      <c r="AH2" s="1">
        <v>8</v>
      </c>
      <c r="AI2" s="1">
        <v>9</v>
      </c>
      <c r="AJ2" s="1">
        <v>10</v>
      </c>
      <c r="AK2" s="1">
        <v>11</v>
      </c>
      <c r="AL2" s="1">
        <v>12</v>
      </c>
      <c r="AM2" s="1">
        <v>13</v>
      </c>
      <c r="AN2" s="1">
        <v>14</v>
      </c>
      <c r="AO2" s="1">
        <v>15</v>
      </c>
      <c r="AP2" s="1">
        <v>16</v>
      </c>
      <c r="AQ2" s="1">
        <v>17</v>
      </c>
      <c r="AR2" s="1">
        <v>18</v>
      </c>
      <c r="AS2" s="1">
        <v>19</v>
      </c>
      <c r="AT2" s="1">
        <v>20</v>
      </c>
      <c r="AU2" s="1">
        <v>21</v>
      </c>
      <c r="AV2" s="1">
        <v>22</v>
      </c>
      <c r="AW2" s="1">
        <v>23</v>
      </c>
      <c r="AX2" s="1">
        <v>24</v>
      </c>
    </row>
    <row r="3" spans="2:50">
      <c r="B3" s="8"/>
      <c r="C3" s="274"/>
      <c r="D3" s="275"/>
      <c r="E3" s="275"/>
      <c r="F3" s="275"/>
      <c r="G3" s="275"/>
      <c r="H3" s="275"/>
      <c r="I3" s="275"/>
      <c r="J3" s="275"/>
      <c r="K3" s="276"/>
      <c r="L3" s="11"/>
      <c r="AA3">
        <v>2</v>
      </c>
      <c r="AB3" t="s">
        <v>244</v>
      </c>
      <c r="AC3" s="201">
        <v>45366</v>
      </c>
      <c r="AD3" t="s">
        <v>246</v>
      </c>
      <c r="AE3">
        <v>1100000</v>
      </c>
      <c r="AF3" t="s">
        <v>247</v>
      </c>
      <c r="AG3" t="s">
        <v>248</v>
      </c>
      <c r="AH3" t="s">
        <v>220</v>
      </c>
      <c r="AI3">
        <v>15678</v>
      </c>
      <c r="AJ3" t="s">
        <v>249</v>
      </c>
      <c r="AK3">
        <v>1100000</v>
      </c>
      <c r="AL3">
        <v>0</v>
      </c>
      <c r="AM3">
        <f>AK3</f>
        <v>1100000</v>
      </c>
      <c r="AN3">
        <v>120505</v>
      </c>
      <c r="AO3" t="s">
        <v>242</v>
      </c>
      <c r="AP3">
        <v>0</v>
      </c>
      <c r="AQ3">
        <v>1100000</v>
      </c>
      <c r="AR3">
        <f>AQ3</f>
        <v>1100000</v>
      </c>
      <c r="AS3">
        <v>3456789</v>
      </c>
      <c r="AT3">
        <v>0</v>
      </c>
      <c r="AU3" t="s">
        <v>222</v>
      </c>
      <c r="AV3" t="s">
        <v>250</v>
      </c>
      <c r="AW3" t="s">
        <v>251</v>
      </c>
      <c r="AX3" t="s">
        <v>252</v>
      </c>
    </row>
    <row r="4" spans="2:50" ht="17.399999999999999">
      <c r="B4" s="8"/>
      <c r="C4" s="277" t="s">
        <v>28</v>
      </c>
      <c r="D4" s="298" t="s">
        <v>286</v>
      </c>
      <c r="E4" s="226"/>
      <c r="F4" s="226"/>
      <c r="G4" s="227"/>
      <c r="H4" s="299" t="s">
        <v>58</v>
      </c>
      <c r="I4" s="215"/>
      <c r="J4" s="215"/>
      <c r="K4" s="215"/>
      <c r="L4" s="216"/>
    </row>
    <row r="5" spans="2:50">
      <c r="B5" s="8"/>
      <c r="C5" s="278"/>
      <c r="D5" s="300" t="s">
        <v>209</v>
      </c>
      <c r="E5" s="215"/>
      <c r="F5" s="215"/>
      <c r="G5" s="220"/>
      <c r="H5" s="62"/>
      <c r="I5" s="63"/>
      <c r="J5" s="63"/>
      <c r="K5" s="64"/>
      <c r="L5" s="11"/>
    </row>
    <row r="6" spans="2:50" ht="22.8">
      <c r="B6" s="8"/>
      <c r="C6" s="278"/>
      <c r="D6" s="231" t="s">
        <v>214</v>
      </c>
      <c r="E6" s="215"/>
      <c r="F6" s="215"/>
      <c r="G6" s="220"/>
      <c r="H6" s="65" t="s">
        <v>2</v>
      </c>
      <c r="I6" s="66">
        <v>2</v>
      </c>
      <c r="J6" s="63"/>
      <c r="K6" s="64"/>
      <c r="L6" s="11"/>
    </row>
    <row r="7" spans="2:50">
      <c r="B7" s="8"/>
      <c r="C7" s="278"/>
      <c r="D7" s="231">
        <v>3213652025</v>
      </c>
      <c r="E7" s="215"/>
      <c r="F7" s="215"/>
      <c r="G7" s="220"/>
      <c r="H7" s="62"/>
      <c r="I7" s="63"/>
      <c r="J7" s="63"/>
      <c r="K7" s="64"/>
      <c r="L7" s="11"/>
    </row>
    <row r="8" spans="2:50">
      <c r="B8" s="8"/>
      <c r="C8" s="278"/>
      <c r="D8" s="282" t="s">
        <v>212</v>
      </c>
      <c r="E8" s="283"/>
      <c r="F8" s="283"/>
      <c r="G8" s="222"/>
      <c r="H8" s="62"/>
      <c r="I8" s="63"/>
      <c r="J8" s="63"/>
      <c r="K8" s="64"/>
      <c r="L8" s="11"/>
    </row>
    <row r="9" spans="2:50">
      <c r="B9" s="8"/>
      <c r="C9" s="44" t="s">
        <v>33</v>
      </c>
      <c r="D9" s="301" t="str">
        <f>VLOOKUP(I6,C.EGRESO,2)</f>
        <v>ÉXITO S.A</v>
      </c>
      <c r="E9" s="275"/>
      <c r="F9" s="275"/>
      <c r="G9" s="276"/>
      <c r="H9" s="67" t="s">
        <v>34</v>
      </c>
      <c r="I9" s="302">
        <f>VLOOKUP(I6,C.EGRESO,3)</f>
        <v>45366</v>
      </c>
      <c r="J9" s="275"/>
      <c r="K9" s="276"/>
      <c r="L9" s="11"/>
    </row>
    <row r="10" spans="2:50">
      <c r="B10" s="8"/>
      <c r="C10" s="44" t="s">
        <v>35</v>
      </c>
      <c r="D10" s="303" t="str">
        <f>VLOOKUP(I6,C.EGRESO,4)</f>
        <v>1121675489-1</v>
      </c>
      <c r="E10" s="275"/>
      <c r="F10" s="275"/>
      <c r="G10" s="275"/>
      <c r="H10" s="276"/>
      <c r="I10" s="67" t="s">
        <v>36</v>
      </c>
      <c r="J10" s="68">
        <f>VLOOKUP(I6,C.EGRESO,5)</f>
        <v>1100000</v>
      </c>
      <c r="K10" s="69"/>
      <c r="L10" s="70"/>
    </row>
    <row r="11" spans="2:50">
      <c r="B11" s="8"/>
      <c r="C11" s="44" t="s">
        <v>37</v>
      </c>
      <c r="D11" s="303" t="str">
        <f>VLOOKUP(I6,C.EGRESO,6)</f>
        <v>CRA 8 CALLE 112A</v>
      </c>
      <c r="E11" s="275"/>
      <c r="F11" s="275"/>
      <c r="G11" s="275"/>
      <c r="H11" s="275"/>
      <c r="I11" s="275"/>
      <c r="J11" s="275"/>
      <c r="K11" s="276"/>
      <c r="L11" s="11"/>
    </row>
    <row r="12" spans="2:50">
      <c r="B12" s="8"/>
      <c r="C12" s="49" t="s">
        <v>38</v>
      </c>
      <c r="D12" s="71" t="str">
        <f>VLOOKUP(I6,C.EGRESO,7)</f>
        <v>UN MILLON CIEN MIL</v>
      </c>
      <c r="E12" s="72"/>
      <c r="F12" s="47"/>
      <c r="G12" s="47"/>
      <c r="H12" s="47"/>
      <c r="I12" s="47"/>
      <c r="J12" s="47"/>
      <c r="K12" s="48"/>
      <c r="L12" s="11"/>
    </row>
    <row r="13" spans="2:50">
      <c r="B13" s="8"/>
      <c r="C13" s="49" t="s">
        <v>39</v>
      </c>
      <c r="D13" s="304" t="str">
        <f>VLOOKUP(I6,C.EGRESO,8)</f>
        <v>COMPRA INGREDIENTES</v>
      </c>
      <c r="E13" s="275"/>
      <c r="F13" s="275"/>
      <c r="G13" s="275"/>
      <c r="H13" s="275"/>
      <c r="I13" s="275"/>
      <c r="J13" s="275"/>
      <c r="K13" s="276"/>
      <c r="L13" s="11"/>
    </row>
    <row r="14" spans="2:50">
      <c r="B14" s="8"/>
      <c r="C14" s="73"/>
      <c r="D14" s="50"/>
      <c r="E14" s="50"/>
      <c r="F14" s="50"/>
      <c r="G14" s="50"/>
      <c r="H14" s="50"/>
      <c r="I14" s="50"/>
      <c r="J14" s="50"/>
      <c r="K14" s="74"/>
      <c r="L14" s="11"/>
    </row>
    <row r="15" spans="2:50">
      <c r="B15" s="8"/>
      <c r="C15" s="51" t="s">
        <v>40</v>
      </c>
      <c r="D15" s="305" t="s">
        <v>41</v>
      </c>
      <c r="E15" s="275"/>
      <c r="F15" s="275"/>
      <c r="G15" s="275"/>
      <c r="H15" s="275"/>
      <c r="I15" s="276"/>
      <c r="J15" s="51" t="s">
        <v>42</v>
      </c>
      <c r="K15" s="51" t="s">
        <v>43</v>
      </c>
      <c r="L15" s="11"/>
    </row>
    <row r="16" spans="2:50">
      <c r="B16" s="8"/>
      <c r="C16" s="54">
        <f>VLOOKUP(I6,C.EGRESO,9)</f>
        <v>15678</v>
      </c>
      <c r="D16" s="284" t="str">
        <f>VLOOKUP(I6,C.EGRESO,10)</f>
        <v>QUESO DOBLE CREMA</v>
      </c>
      <c r="E16" s="275"/>
      <c r="F16" s="275"/>
      <c r="G16" s="275"/>
      <c r="H16" s="275"/>
      <c r="I16" s="276"/>
      <c r="J16" s="75">
        <f>VLOOKUP(I6,C.EGRESO,11)</f>
        <v>1100000</v>
      </c>
      <c r="K16" s="75">
        <f>VLOOKUP(I6,C.EGRESO,12)</f>
        <v>0</v>
      </c>
      <c r="L16" s="11"/>
    </row>
    <row r="17" spans="2:12">
      <c r="B17" s="8"/>
      <c r="C17" s="54">
        <f>VLOOKUP(I6,C.EGRESO,14)</f>
        <v>120505</v>
      </c>
      <c r="D17" s="284" t="str">
        <f>VLOOKUP(I6,C.EGRESO,15)</f>
        <v>CAJA GENERAL</v>
      </c>
      <c r="E17" s="275"/>
      <c r="F17" s="275"/>
      <c r="G17" s="275"/>
      <c r="H17" s="275"/>
      <c r="I17" s="276"/>
      <c r="J17" s="75">
        <f>VLOOKUP(I6,C.EGRESO,16)</f>
        <v>0</v>
      </c>
      <c r="K17" s="75">
        <f>VLOOKUP(I6,C.EGRESO,17)</f>
        <v>1100000</v>
      </c>
      <c r="L17" s="11"/>
    </row>
    <row r="18" spans="2:12">
      <c r="B18" s="8"/>
      <c r="C18" s="55"/>
      <c r="D18" s="284"/>
      <c r="E18" s="275"/>
      <c r="F18" s="275"/>
      <c r="G18" s="275"/>
      <c r="H18" s="275"/>
      <c r="I18" s="276"/>
      <c r="J18" s="75"/>
      <c r="K18" s="75"/>
      <c r="L18" s="11"/>
    </row>
    <row r="19" spans="2:12">
      <c r="B19" s="8"/>
      <c r="C19" s="55"/>
      <c r="D19" s="284"/>
      <c r="E19" s="275"/>
      <c r="F19" s="275"/>
      <c r="G19" s="275"/>
      <c r="H19" s="275"/>
      <c r="I19" s="276"/>
      <c r="J19" s="75"/>
      <c r="K19" s="75"/>
      <c r="L19" s="11"/>
    </row>
    <row r="20" spans="2:12">
      <c r="B20" s="8"/>
      <c r="C20" s="56"/>
      <c r="D20" s="290"/>
      <c r="E20" s="275"/>
      <c r="F20" s="275"/>
      <c r="G20" s="275"/>
      <c r="H20" s="275"/>
      <c r="I20" s="276"/>
      <c r="J20" s="76"/>
      <c r="K20" s="76"/>
      <c r="L20" s="11"/>
    </row>
    <row r="21" spans="2:12">
      <c r="B21" s="8"/>
      <c r="C21" s="56"/>
      <c r="D21" s="290"/>
      <c r="E21" s="275"/>
      <c r="F21" s="275"/>
      <c r="G21" s="275"/>
      <c r="H21" s="275"/>
      <c r="I21" s="276"/>
      <c r="J21" s="76"/>
      <c r="K21" s="76"/>
      <c r="L21" s="11"/>
    </row>
    <row r="22" spans="2:12" ht="15" thickBot="1">
      <c r="B22" s="8"/>
      <c r="C22" s="56"/>
      <c r="D22" s="290"/>
      <c r="E22" s="275"/>
      <c r="F22" s="275"/>
      <c r="G22" s="275"/>
      <c r="H22" s="275"/>
      <c r="I22" s="276"/>
      <c r="J22" s="77"/>
      <c r="K22" s="77"/>
      <c r="L22" s="11"/>
    </row>
    <row r="23" spans="2:12" ht="15" thickBot="1">
      <c r="B23" s="8"/>
      <c r="C23" s="291" t="s">
        <v>44</v>
      </c>
      <c r="D23" s="275"/>
      <c r="E23" s="275"/>
      <c r="F23" s="275"/>
      <c r="G23" s="275"/>
      <c r="H23" s="275"/>
      <c r="I23" s="275"/>
      <c r="J23" s="78">
        <f>VLOOKUP(I6,C.EGRESO,13)</f>
        <v>1100000</v>
      </c>
      <c r="K23" s="79">
        <f>VLOOKUP(I6,C.EGRESO,18)</f>
        <v>1100000</v>
      </c>
      <c r="L23" s="11"/>
    </row>
    <row r="24" spans="2:12">
      <c r="B24" s="8"/>
      <c r="C24" s="61" t="s">
        <v>45</v>
      </c>
      <c r="D24" s="290">
        <f>VLOOKUP(I6,C.EGRESO,19)</f>
        <v>3456789</v>
      </c>
      <c r="E24" s="276"/>
      <c r="F24" s="292" t="s">
        <v>46</v>
      </c>
      <c r="G24" s="306">
        <f>VLOOKUP(I6,C.EGRESO,20)</f>
        <v>0</v>
      </c>
      <c r="H24" s="294" t="s">
        <v>47</v>
      </c>
      <c r="I24" s="275"/>
      <c r="J24" s="275"/>
      <c r="K24" s="276"/>
      <c r="L24" s="11"/>
    </row>
    <row r="25" spans="2:12">
      <c r="B25" s="8"/>
      <c r="C25" s="61" t="s">
        <v>48</v>
      </c>
      <c r="D25" s="290" t="str">
        <f>VLOOKUP(I6,C.EGRESO,21)</f>
        <v>BANCOLOMBIA</v>
      </c>
      <c r="E25" s="276"/>
      <c r="F25" s="278"/>
      <c r="G25" s="278"/>
      <c r="H25" s="295"/>
      <c r="I25" s="226"/>
      <c r="J25" s="226"/>
      <c r="K25" s="227"/>
      <c r="L25" s="11"/>
    </row>
    <row r="26" spans="2:12">
      <c r="B26" s="8"/>
      <c r="C26" s="61" t="s">
        <v>49</v>
      </c>
      <c r="D26" s="290" t="str">
        <f>VLOOKUP(I6,C.EGRESO,22)</f>
        <v>3567543-2</v>
      </c>
      <c r="E26" s="276"/>
      <c r="F26" s="278"/>
      <c r="G26" s="278"/>
      <c r="H26" s="228"/>
      <c r="I26" s="215"/>
      <c r="J26" s="215"/>
      <c r="K26" s="220"/>
      <c r="L26" s="11"/>
    </row>
    <row r="27" spans="2:12">
      <c r="B27" s="8"/>
      <c r="C27" s="61" t="s">
        <v>50</v>
      </c>
      <c r="D27" s="290" t="str">
        <f>VLOOKUP(I6,C.EGRESO,23)</f>
        <v>PORVENIR</v>
      </c>
      <c r="E27" s="276"/>
      <c r="F27" s="293"/>
      <c r="G27" s="293"/>
      <c r="H27" s="228"/>
      <c r="I27" s="215"/>
      <c r="J27" s="215"/>
      <c r="K27" s="220"/>
      <c r="L27" s="11"/>
    </row>
    <row r="28" spans="2:12">
      <c r="B28" s="8"/>
      <c r="C28" s="61" t="s">
        <v>51</v>
      </c>
      <c r="D28" s="290" t="str">
        <f>VLOOKUP(I6,C.EGRESO,24)</f>
        <v>SIN SALDO</v>
      </c>
      <c r="E28" s="275"/>
      <c r="F28" s="275"/>
      <c r="G28" s="276"/>
      <c r="H28" s="228"/>
      <c r="I28" s="215"/>
      <c r="J28" s="215"/>
      <c r="K28" s="220"/>
      <c r="L28" s="11"/>
    </row>
    <row r="29" spans="2:12">
      <c r="B29" s="8"/>
      <c r="C29" s="295"/>
      <c r="D29" s="226"/>
      <c r="E29" s="226"/>
      <c r="F29" s="226"/>
      <c r="G29" s="227"/>
      <c r="H29" s="296"/>
      <c r="I29" s="283"/>
      <c r="J29" s="283"/>
      <c r="K29" s="222"/>
      <c r="L29" s="11"/>
    </row>
    <row r="30" spans="2:12">
      <c r="B30" s="8"/>
      <c r="C30" s="228"/>
      <c r="D30" s="215"/>
      <c r="E30" s="215"/>
      <c r="F30" s="215"/>
      <c r="G30" s="220"/>
      <c r="H30" s="61" t="s">
        <v>52</v>
      </c>
      <c r="I30" s="290"/>
      <c r="J30" s="275"/>
      <c r="K30" s="276"/>
      <c r="L30" s="11"/>
    </row>
    <row r="31" spans="2:12">
      <c r="B31" s="8"/>
      <c r="C31" s="296"/>
      <c r="D31" s="283"/>
      <c r="E31" s="283"/>
      <c r="F31" s="283"/>
      <c r="G31" s="222"/>
      <c r="H31" s="61" t="s">
        <v>53</v>
      </c>
      <c r="I31" s="56"/>
      <c r="J31" s="56"/>
      <c r="K31" s="56"/>
      <c r="L31" s="11"/>
    </row>
    <row r="32" spans="2:12">
      <c r="B32" s="8"/>
      <c r="C32" s="290" t="s">
        <v>54</v>
      </c>
      <c r="D32" s="276"/>
      <c r="E32" s="290" t="s">
        <v>55</v>
      </c>
      <c r="F32" s="275"/>
      <c r="G32" s="276"/>
      <c r="H32" s="290" t="s">
        <v>56</v>
      </c>
      <c r="I32" s="276"/>
      <c r="J32" s="290" t="s">
        <v>57</v>
      </c>
      <c r="K32" s="276"/>
      <c r="L32" s="11"/>
    </row>
    <row r="33" spans="2:12">
      <c r="B33" s="8"/>
      <c r="C33" s="290"/>
      <c r="D33" s="276"/>
      <c r="E33" s="290"/>
      <c r="F33" s="275"/>
      <c r="G33" s="276"/>
      <c r="H33" s="290"/>
      <c r="I33" s="276"/>
      <c r="J33" s="290"/>
      <c r="K33" s="276"/>
      <c r="L33" s="11"/>
    </row>
    <row r="34" spans="2:12" ht="15" thickBot="1"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3"/>
    </row>
  </sheetData>
  <mergeCells count="41">
    <mergeCell ref="C33:D33"/>
    <mergeCell ref="E33:G33"/>
    <mergeCell ref="H33:I33"/>
    <mergeCell ref="J33:K33"/>
    <mergeCell ref="D28:G28"/>
    <mergeCell ref="C29:G31"/>
    <mergeCell ref="I30:K30"/>
    <mergeCell ref="C32:D32"/>
    <mergeCell ref="E32:G32"/>
    <mergeCell ref="H32:I32"/>
    <mergeCell ref="J32:K32"/>
    <mergeCell ref="D22:I22"/>
    <mergeCell ref="C23:I23"/>
    <mergeCell ref="D24:E24"/>
    <mergeCell ref="F24:F27"/>
    <mergeCell ref="G24:G27"/>
    <mergeCell ref="H24:K24"/>
    <mergeCell ref="D25:E25"/>
    <mergeCell ref="H25:K29"/>
    <mergeCell ref="D26:E26"/>
    <mergeCell ref="D27:E27"/>
    <mergeCell ref="D21:I21"/>
    <mergeCell ref="D9:G9"/>
    <mergeCell ref="I9:K9"/>
    <mergeCell ref="D10:H10"/>
    <mergeCell ref="D11:K11"/>
    <mergeCell ref="D13:K13"/>
    <mergeCell ref="D15:I15"/>
    <mergeCell ref="D16:I16"/>
    <mergeCell ref="D17:I17"/>
    <mergeCell ref="D18:I18"/>
    <mergeCell ref="D19:I19"/>
    <mergeCell ref="D20:I20"/>
    <mergeCell ref="C3:K3"/>
    <mergeCell ref="C4:C8"/>
    <mergeCell ref="D4:G4"/>
    <mergeCell ref="H4:L4"/>
    <mergeCell ref="D5:G5"/>
    <mergeCell ref="D6:G6"/>
    <mergeCell ref="D7:G7"/>
    <mergeCell ref="D8:G8"/>
  </mergeCells>
  <hyperlinks>
    <hyperlink ref="D8" r:id="rId1" xr:uid="{E36E0C2A-20CD-4510-93F2-1270F2CA14CE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6CFE-271B-41D2-9DC2-8098926B39A1}">
  <dimension ref="B1:AX25"/>
  <sheetViews>
    <sheetView topLeftCell="B2" zoomScale="101" zoomScaleNormal="101" workbookViewId="0">
      <selection activeCell="O6" sqref="O6"/>
    </sheetView>
  </sheetViews>
  <sheetFormatPr baseColWidth="10" defaultRowHeight="14.4"/>
  <cols>
    <col min="1" max="1" width="3" customWidth="1"/>
    <col min="2" max="2" width="2.6640625" customWidth="1"/>
    <col min="3" max="3" width="32.88671875" customWidth="1"/>
    <col min="28" max="28" width="14.6640625" customWidth="1"/>
    <col min="30" max="30" width="13.33203125" customWidth="1"/>
    <col min="31" max="31" width="19.6640625" customWidth="1"/>
    <col min="32" max="32" width="26.33203125" customWidth="1"/>
    <col min="33" max="33" width="22" customWidth="1"/>
    <col min="34" max="34" width="13.33203125" customWidth="1"/>
    <col min="36" max="36" width="17.5546875" customWidth="1"/>
    <col min="37" max="37" width="17.33203125" customWidth="1"/>
    <col min="38" max="38" width="14.44140625" customWidth="1"/>
    <col min="39" max="39" width="17.5546875" customWidth="1"/>
    <col min="40" max="40" width="16.109375" customWidth="1"/>
    <col min="42" max="42" width="23.5546875" customWidth="1"/>
    <col min="43" max="43" width="18.33203125" customWidth="1"/>
    <col min="45" max="45" width="18.109375" customWidth="1"/>
  </cols>
  <sheetData>
    <row r="1" spans="2:50" ht="15" thickBot="1">
      <c r="AA1" s="190" t="s">
        <v>100</v>
      </c>
      <c r="AB1" s="190" t="s">
        <v>160</v>
      </c>
      <c r="AC1" s="190" t="s">
        <v>161</v>
      </c>
      <c r="AD1" s="190" t="s">
        <v>75</v>
      </c>
      <c r="AE1" s="190" t="s">
        <v>63</v>
      </c>
      <c r="AF1" s="190" t="s">
        <v>162</v>
      </c>
      <c r="AG1" s="190" t="s">
        <v>163</v>
      </c>
      <c r="AH1" s="191" t="s">
        <v>36</v>
      </c>
      <c r="AI1" s="190" t="s">
        <v>119</v>
      </c>
      <c r="AJ1" s="190" t="s">
        <v>164</v>
      </c>
      <c r="AK1" s="190" t="s">
        <v>45</v>
      </c>
      <c r="AL1" s="190" t="s">
        <v>152</v>
      </c>
      <c r="AM1" s="190" t="s">
        <v>154</v>
      </c>
      <c r="AN1" s="190" t="s">
        <v>46</v>
      </c>
      <c r="AO1" s="190" t="s">
        <v>165</v>
      </c>
      <c r="AP1" s="190" t="s">
        <v>69</v>
      </c>
      <c r="AQ1" s="191" t="s">
        <v>42</v>
      </c>
      <c r="AR1" s="191" t="s">
        <v>166</v>
      </c>
      <c r="AS1" s="191" t="s">
        <v>145</v>
      </c>
      <c r="AT1" s="192" t="s">
        <v>167</v>
      </c>
      <c r="AU1" s="190" t="s">
        <v>168</v>
      </c>
      <c r="AV1" s="191" t="s">
        <v>169</v>
      </c>
      <c r="AW1" s="191" t="s">
        <v>170</v>
      </c>
      <c r="AX1" s="191" t="s">
        <v>171</v>
      </c>
    </row>
    <row r="2" spans="2:50" ht="15" thickBot="1">
      <c r="B2" s="34"/>
      <c r="C2" s="35"/>
      <c r="D2" s="35"/>
      <c r="E2" s="35"/>
      <c r="F2" s="35"/>
      <c r="G2" s="35"/>
      <c r="H2" s="35"/>
      <c r="I2" s="35"/>
      <c r="J2" s="35"/>
      <c r="K2" s="36"/>
      <c r="AA2">
        <v>1</v>
      </c>
      <c r="AB2">
        <v>2</v>
      </c>
      <c r="AC2">
        <v>3</v>
      </c>
      <c r="AD2" s="1">
        <v>4</v>
      </c>
      <c r="AE2" s="1">
        <v>5</v>
      </c>
      <c r="AF2" s="1">
        <v>6</v>
      </c>
      <c r="AG2" s="1">
        <v>7</v>
      </c>
      <c r="AH2" s="1">
        <v>8</v>
      </c>
      <c r="AI2" s="1">
        <v>9</v>
      </c>
      <c r="AJ2" s="1">
        <v>10</v>
      </c>
      <c r="AK2" s="1">
        <v>11</v>
      </c>
      <c r="AL2" s="1">
        <v>12</v>
      </c>
      <c r="AM2" s="1">
        <v>13</v>
      </c>
      <c r="AN2" s="1">
        <v>14</v>
      </c>
      <c r="AO2" s="1">
        <v>15</v>
      </c>
      <c r="AP2" s="1">
        <v>16</v>
      </c>
      <c r="AQ2" s="1">
        <v>17</v>
      </c>
      <c r="AR2" s="1">
        <v>18</v>
      </c>
      <c r="AS2" s="1">
        <v>19</v>
      </c>
      <c r="AT2" s="1">
        <v>20</v>
      </c>
      <c r="AU2" s="1">
        <v>21</v>
      </c>
      <c r="AV2" s="1">
        <v>22</v>
      </c>
      <c r="AW2" s="1">
        <v>23</v>
      </c>
      <c r="AX2" s="1">
        <v>24</v>
      </c>
    </row>
    <row r="3" spans="2:50" ht="17.399999999999999">
      <c r="B3" s="8"/>
      <c r="C3" s="307" t="s">
        <v>28</v>
      </c>
      <c r="D3" s="309" t="s">
        <v>286</v>
      </c>
      <c r="E3" s="310"/>
      <c r="F3" s="310"/>
      <c r="G3" s="311"/>
      <c r="H3" s="312" t="s">
        <v>59</v>
      </c>
      <c r="I3" s="224"/>
      <c r="J3" s="313"/>
      <c r="K3" s="11"/>
      <c r="AA3">
        <v>2</v>
      </c>
      <c r="AB3" t="s">
        <v>215</v>
      </c>
      <c r="AC3" t="s">
        <v>216</v>
      </c>
      <c r="AD3" t="s">
        <v>217</v>
      </c>
      <c r="AE3" t="s">
        <v>218</v>
      </c>
      <c r="AF3" t="s">
        <v>219</v>
      </c>
      <c r="AG3" t="s">
        <v>220</v>
      </c>
      <c r="AH3" s="200">
        <v>15000000</v>
      </c>
      <c r="AI3" s="201">
        <v>45352</v>
      </c>
      <c r="AJ3" s="202" t="s">
        <v>221</v>
      </c>
      <c r="AK3">
        <v>150987456</v>
      </c>
      <c r="AL3" t="s">
        <v>222</v>
      </c>
      <c r="AM3" t="s">
        <v>223</v>
      </c>
      <c r="AN3">
        <v>0</v>
      </c>
      <c r="AO3">
        <v>152805</v>
      </c>
      <c r="AP3" t="s">
        <v>220</v>
      </c>
      <c r="AQ3" s="200">
        <v>15000000</v>
      </c>
      <c r="AR3">
        <v>0</v>
      </c>
      <c r="AS3" s="200">
        <v>15000000</v>
      </c>
      <c r="AT3">
        <v>111005</v>
      </c>
      <c r="AU3" t="s">
        <v>224</v>
      </c>
      <c r="AV3">
        <v>0</v>
      </c>
      <c r="AW3" s="200">
        <v>15000000</v>
      </c>
      <c r="AX3" s="200">
        <v>15000000</v>
      </c>
    </row>
    <row r="4" spans="2:50">
      <c r="B4" s="8"/>
      <c r="C4" s="308"/>
      <c r="D4" s="300" t="s">
        <v>209</v>
      </c>
      <c r="E4" s="215"/>
      <c r="F4" s="215"/>
      <c r="G4" s="216"/>
      <c r="H4" s="219"/>
      <c r="I4" s="215"/>
      <c r="J4" s="216"/>
      <c r="K4" s="11"/>
    </row>
    <row r="5" spans="2:50">
      <c r="B5" s="8"/>
      <c r="C5" s="308"/>
      <c r="D5" s="300" t="s">
        <v>210</v>
      </c>
      <c r="E5" s="215"/>
      <c r="F5" s="215"/>
      <c r="G5" s="216"/>
      <c r="H5" s="219"/>
      <c r="I5" s="215"/>
      <c r="J5" s="216"/>
      <c r="K5" s="11"/>
    </row>
    <row r="6" spans="2:50" ht="25.2" thickBot="1">
      <c r="B6" s="8"/>
      <c r="C6" s="308"/>
      <c r="D6" s="231">
        <v>3213652025</v>
      </c>
      <c r="E6" s="215"/>
      <c r="F6" s="215"/>
      <c r="G6" s="216"/>
      <c r="H6" s="80" t="s">
        <v>2</v>
      </c>
      <c r="I6" s="81">
        <v>2</v>
      </c>
      <c r="J6" s="82"/>
      <c r="K6" s="11"/>
    </row>
    <row r="7" spans="2:50" ht="24.6">
      <c r="B7" s="8"/>
      <c r="C7" s="308"/>
      <c r="D7" s="232" t="s">
        <v>212</v>
      </c>
      <c r="E7" s="215"/>
      <c r="F7" s="215"/>
      <c r="G7" s="215"/>
      <c r="H7" s="83"/>
      <c r="I7" s="83"/>
      <c r="J7" s="84"/>
      <c r="K7" s="11"/>
    </row>
    <row r="8" spans="2:50" ht="24.6">
      <c r="B8" s="8"/>
      <c r="C8" s="308"/>
      <c r="D8" s="314"/>
      <c r="E8" s="215"/>
      <c r="F8" s="215"/>
      <c r="G8" s="83"/>
      <c r="H8" s="83"/>
      <c r="I8" s="83"/>
      <c r="J8" s="84"/>
      <c r="K8" s="11"/>
    </row>
    <row r="9" spans="2:50">
      <c r="B9" s="8"/>
      <c r="C9" s="85" t="s">
        <v>60</v>
      </c>
      <c r="D9" s="315" t="str">
        <f>VLOOKUP(I6,CAJA,2)</f>
        <v>ARA S.A</v>
      </c>
      <c r="E9" s="239"/>
      <c r="F9" s="239"/>
      <c r="G9" s="316"/>
      <c r="H9" s="86" t="s">
        <v>36</v>
      </c>
      <c r="I9" s="317">
        <f>VLOOKUP(I6,CAJA,8)</f>
        <v>15000000</v>
      </c>
      <c r="J9" s="318"/>
      <c r="K9" s="11"/>
    </row>
    <row r="10" spans="2:50">
      <c r="B10" s="8"/>
      <c r="C10" s="87" t="s">
        <v>61</v>
      </c>
      <c r="D10" s="315" t="str">
        <f>VLOOKUP(I6,CAJA,3)</f>
        <v>87654321-0</v>
      </c>
      <c r="E10" s="239"/>
      <c r="F10" s="239"/>
      <c r="G10" s="316"/>
      <c r="H10" s="86" t="s">
        <v>34</v>
      </c>
      <c r="I10" s="319">
        <f>VLOOKUP(I6,CAJA,9)</f>
        <v>45352</v>
      </c>
      <c r="J10" s="318"/>
      <c r="K10" s="11"/>
    </row>
    <row r="11" spans="2:50">
      <c r="B11" s="8"/>
      <c r="C11" s="87" t="s">
        <v>11</v>
      </c>
      <c r="D11" s="315" t="str">
        <f>VLOOKUP(I6,CAJA,4)</f>
        <v xml:space="preserve">BOGOTÁ D.C </v>
      </c>
      <c r="E11" s="239"/>
      <c r="F11" s="239"/>
      <c r="G11" s="316"/>
      <c r="H11" s="86" t="s">
        <v>62</v>
      </c>
      <c r="I11" s="320" t="str">
        <f>VLOOKUP(I6,CAJA,10)</f>
        <v>ARA@GMAIL.COM</v>
      </c>
      <c r="J11" s="318"/>
      <c r="K11" s="11"/>
    </row>
    <row r="12" spans="2:50">
      <c r="B12" s="8"/>
      <c r="C12" s="85" t="s">
        <v>63</v>
      </c>
      <c r="D12" s="327" t="str">
        <f>VLOOKUP(I6,CAJA,5)</f>
        <v>CALLE 56A No 65-14</v>
      </c>
      <c r="E12" s="264"/>
      <c r="F12" s="264"/>
      <c r="G12" s="264"/>
      <c r="H12" s="264"/>
      <c r="I12" s="264"/>
      <c r="J12" s="328"/>
      <c r="K12" s="11"/>
    </row>
    <row r="13" spans="2:50">
      <c r="B13" s="8"/>
      <c r="C13" s="87" t="s">
        <v>38</v>
      </c>
      <c r="D13" s="315" t="str">
        <f>VLOOKUP(I6,CAJA,6)</f>
        <v>QUINCE MILLONES DE PESOS</v>
      </c>
      <c r="E13" s="239"/>
      <c r="F13" s="239"/>
      <c r="G13" s="239"/>
      <c r="H13" s="239"/>
      <c r="I13" s="239"/>
      <c r="J13" s="318"/>
      <c r="K13" s="11"/>
    </row>
    <row r="14" spans="2:50">
      <c r="B14" s="8"/>
      <c r="C14" s="87" t="s">
        <v>64</v>
      </c>
      <c r="D14" s="315" t="str">
        <f>VLOOKUP(I6,CAJA,7)</f>
        <v>COMPRA INGREDIENTES</v>
      </c>
      <c r="E14" s="239"/>
      <c r="F14" s="239"/>
      <c r="G14" s="239"/>
      <c r="H14" s="239"/>
      <c r="I14" s="239"/>
      <c r="J14" s="318"/>
      <c r="K14" s="11"/>
    </row>
    <row r="15" spans="2:50">
      <c r="B15" s="8"/>
      <c r="C15" s="329"/>
      <c r="D15" s="330"/>
      <c r="E15" s="330"/>
      <c r="F15" s="330"/>
      <c r="G15" s="330"/>
      <c r="H15" s="330"/>
      <c r="I15" s="330"/>
      <c r="J15" s="331"/>
      <c r="K15" s="11"/>
    </row>
    <row r="16" spans="2:50">
      <c r="B16" s="8"/>
      <c r="C16" s="88" t="s">
        <v>65</v>
      </c>
      <c r="D16" s="89">
        <f>VLOOKUP(I6,CAJA,11)</f>
        <v>150987456</v>
      </c>
      <c r="E16" s="90" t="s">
        <v>66</v>
      </c>
      <c r="F16" s="89" t="str">
        <f>VLOOKUP(I6,CAJA,12)</f>
        <v>BANCOLOMBIA</v>
      </c>
      <c r="G16" s="90" t="s">
        <v>67</v>
      </c>
      <c r="H16" s="89" t="str">
        <f>VLOOKUP(I6,CAJA,13)</f>
        <v>KENNEDY</v>
      </c>
      <c r="I16" s="90" t="s">
        <v>68</v>
      </c>
      <c r="J16" s="91">
        <f>VLOOKUP(I6,CAJA,14)</f>
        <v>0</v>
      </c>
      <c r="K16" s="11"/>
    </row>
    <row r="17" spans="2:11">
      <c r="B17" s="8"/>
      <c r="C17" s="92" t="s">
        <v>40</v>
      </c>
      <c r="D17" s="332" t="s">
        <v>69</v>
      </c>
      <c r="E17" s="275"/>
      <c r="F17" s="93" t="s">
        <v>70</v>
      </c>
      <c r="G17" s="93" t="s">
        <v>43</v>
      </c>
      <c r="H17" s="295" t="s">
        <v>71</v>
      </c>
      <c r="I17" s="226"/>
      <c r="J17" s="227"/>
      <c r="K17" s="11"/>
    </row>
    <row r="18" spans="2:11">
      <c r="B18" s="8"/>
      <c r="C18" s="94">
        <f>VLOOKUP(I6,CAJA,15)</f>
        <v>152805</v>
      </c>
      <c r="D18" s="333" t="str">
        <f>VLOOKUP(I6,CAJA,16)</f>
        <v>COMPRA INGREDIENTES</v>
      </c>
      <c r="E18" s="276"/>
      <c r="F18" s="95">
        <f>VLOOKUP(I6,CAJA,17)</f>
        <v>15000000</v>
      </c>
      <c r="G18" s="95">
        <f>VLOOKUP(I6,CAJA,18)</f>
        <v>0</v>
      </c>
      <c r="H18" s="228"/>
      <c r="I18" s="215"/>
      <c r="J18" s="220"/>
      <c r="K18" s="11"/>
    </row>
    <row r="19" spans="2:11">
      <c r="B19" s="8"/>
      <c r="C19" s="96">
        <f>VLOOKUP(I6,CAJA,20)</f>
        <v>111005</v>
      </c>
      <c r="D19" s="333" t="str">
        <f>VLOOKUP(I6,CAJA,21)</f>
        <v>BANCOS</v>
      </c>
      <c r="E19" s="276"/>
      <c r="F19" s="97">
        <f>VLOOKUP(I6,CAJA,22)</f>
        <v>0</v>
      </c>
      <c r="G19" s="97">
        <f>VLOOKUP(I6,CAJA,23)</f>
        <v>15000000</v>
      </c>
      <c r="H19" s="228"/>
      <c r="I19" s="215"/>
      <c r="J19" s="220"/>
      <c r="K19" s="11"/>
    </row>
    <row r="20" spans="2:11">
      <c r="B20" s="8"/>
      <c r="C20" s="98"/>
      <c r="D20" s="334"/>
      <c r="E20" s="276"/>
      <c r="F20" s="56"/>
      <c r="G20" s="56"/>
      <c r="H20" s="228"/>
      <c r="I20" s="215"/>
      <c r="J20" s="220"/>
      <c r="K20" s="11"/>
    </row>
    <row r="21" spans="2:11">
      <c r="B21" s="8"/>
      <c r="C21" s="98"/>
      <c r="D21" s="334"/>
      <c r="E21" s="276"/>
      <c r="F21" s="56"/>
      <c r="G21" s="56"/>
      <c r="H21" s="228"/>
      <c r="I21" s="215"/>
      <c r="J21" s="220"/>
      <c r="K21" s="11"/>
    </row>
    <row r="22" spans="2:11">
      <c r="B22" s="8"/>
      <c r="C22" s="99"/>
      <c r="D22" s="321" t="s">
        <v>72</v>
      </c>
      <c r="E22" s="227"/>
      <c r="F22" s="97">
        <f>VLOOKUP(I6,CAJA,19)</f>
        <v>15000000</v>
      </c>
      <c r="G22" s="97">
        <f>VLOOKUP(I6,CAJA,24)</f>
        <v>15000000</v>
      </c>
      <c r="H22" s="296"/>
      <c r="I22" s="283"/>
      <c r="J22" s="222"/>
      <c r="K22" s="11"/>
    </row>
    <row r="23" spans="2:11">
      <c r="B23" s="8"/>
      <c r="C23" s="100" t="s">
        <v>54</v>
      </c>
      <c r="D23" s="100" t="s">
        <v>55</v>
      </c>
      <c r="E23" s="100" t="s">
        <v>56</v>
      </c>
      <c r="F23" s="322" t="s">
        <v>57</v>
      </c>
      <c r="G23" s="276"/>
      <c r="H23" s="323" t="s">
        <v>73</v>
      </c>
      <c r="I23" s="226"/>
      <c r="J23" s="324"/>
      <c r="K23" s="11"/>
    </row>
    <row r="24" spans="2:11" ht="15" thickBot="1">
      <c r="B24" s="8"/>
      <c r="C24" s="61"/>
      <c r="D24" s="61"/>
      <c r="E24" s="91"/>
      <c r="F24" s="290"/>
      <c r="G24" s="276"/>
      <c r="H24" s="325"/>
      <c r="I24" s="268"/>
      <c r="J24" s="326"/>
      <c r="K24" s="11"/>
    </row>
    <row r="25" spans="2:11" ht="15" thickBot="1">
      <c r="B25" s="30"/>
      <c r="C25" s="31"/>
      <c r="D25" s="31"/>
      <c r="E25" s="31"/>
      <c r="F25" s="31"/>
      <c r="G25" s="31"/>
      <c r="H25" s="31"/>
      <c r="I25" s="31"/>
      <c r="J25" s="31"/>
      <c r="K25" s="33"/>
    </row>
  </sheetData>
  <mergeCells count="28">
    <mergeCell ref="D22:E22"/>
    <mergeCell ref="F23:G23"/>
    <mergeCell ref="H23:J24"/>
    <mergeCell ref="F24:G24"/>
    <mergeCell ref="D12:J12"/>
    <mergeCell ref="D13:J13"/>
    <mergeCell ref="D14:J14"/>
    <mergeCell ref="C15:J15"/>
    <mergeCell ref="D17:E17"/>
    <mergeCell ref="H17:J22"/>
    <mergeCell ref="D18:E18"/>
    <mergeCell ref="D19:E19"/>
    <mergeCell ref="D20:E20"/>
    <mergeCell ref="D21:E21"/>
    <mergeCell ref="D9:G9"/>
    <mergeCell ref="I9:J9"/>
    <mergeCell ref="D10:G10"/>
    <mergeCell ref="I10:J10"/>
    <mergeCell ref="D11:G11"/>
    <mergeCell ref="I11:J11"/>
    <mergeCell ref="C3:C8"/>
    <mergeCell ref="D3:G3"/>
    <mergeCell ref="H3:J5"/>
    <mergeCell ref="D4:G4"/>
    <mergeCell ref="D5:G5"/>
    <mergeCell ref="D6:G6"/>
    <mergeCell ref="D7:G7"/>
    <mergeCell ref="D8:F8"/>
  </mergeCells>
  <hyperlinks>
    <hyperlink ref="D7" r:id="rId1" xr:uid="{38807B8F-AB3C-4197-B9FA-EC2FB4E76405}"/>
    <hyperlink ref="AJ3" r:id="rId2" xr:uid="{F3333BD0-4D66-4946-8F04-82ABFCC701C8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CABA0-5045-47AD-BE90-59EB94A7BE06}">
  <dimension ref="B1:AS24"/>
  <sheetViews>
    <sheetView zoomScale="96" zoomScaleNormal="96" workbookViewId="0">
      <selection activeCell="E3" sqref="E3:G3"/>
    </sheetView>
  </sheetViews>
  <sheetFormatPr baseColWidth="10" defaultRowHeight="14.4"/>
  <cols>
    <col min="1" max="2" width="2.109375" customWidth="1"/>
    <col min="28" max="28" width="14.109375" customWidth="1"/>
    <col min="32" max="32" width="18" customWidth="1"/>
    <col min="33" max="33" width="16.5546875" customWidth="1"/>
    <col min="34" max="34" width="18.5546875" customWidth="1"/>
    <col min="35" max="35" width="24.44140625" customWidth="1"/>
    <col min="37" max="37" width="22.109375" customWidth="1"/>
  </cols>
  <sheetData>
    <row r="1" spans="2:45" ht="15" thickBot="1">
      <c r="AA1" s="193" t="s">
        <v>172</v>
      </c>
      <c r="AB1" s="193" t="s">
        <v>75</v>
      </c>
      <c r="AC1" s="193" t="s">
        <v>173</v>
      </c>
      <c r="AD1" s="193" t="s">
        <v>174</v>
      </c>
      <c r="AE1" s="193" t="s">
        <v>78</v>
      </c>
      <c r="AF1" s="193" t="s">
        <v>175</v>
      </c>
      <c r="AG1" s="194" t="s">
        <v>176</v>
      </c>
      <c r="AH1" s="193" t="s">
        <v>163</v>
      </c>
      <c r="AI1" s="193" t="s">
        <v>177</v>
      </c>
      <c r="AJ1" s="193" t="s">
        <v>178</v>
      </c>
      <c r="AK1" s="193" t="s">
        <v>69</v>
      </c>
      <c r="AL1" s="194" t="s">
        <v>42</v>
      </c>
      <c r="AM1" s="194" t="s">
        <v>166</v>
      </c>
      <c r="AN1" s="194" t="s">
        <v>179</v>
      </c>
      <c r="AO1" s="193" t="s">
        <v>180</v>
      </c>
      <c r="AP1" s="193" t="s">
        <v>181</v>
      </c>
      <c r="AQ1" s="194" t="s">
        <v>182</v>
      </c>
      <c r="AR1" s="194" t="s">
        <v>183</v>
      </c>
      <c r="AS1" s="194" t="s">
        <v>184</v>
      </c>
    </row>
    <row r="2" spans="2:4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3"/>
      <c r="AA2">
        <v>1</v>
      </c>
      <c r="AB2">
        <v>2</v>
      </c>
      <c r="AC2">
        <v>3</v>
      </c>
      <c r="AD2" s="1">
        <v>4</v>
      </c>
      <c r="AE2" s="1">
        <v>5</v>
      </c>
      <c r="AF2" s="1">
        <v>6</v>
      </c>
      <c r="AG2" s="1">
        <v>7</v>
      </c>
      <c r="AH2" s="1">
        <v>8</v>
      </c>
      <c r="AI2" s="1">
        <v>9</v>
      </c>
      <c r="AJ2" s="1">
        <v>10</v>
      </c>
      <c r="AK2" s="1">
        <v>11</v>
      </c>
      <c r="AL2" s="1">
        <v>12</v>
      </c>
      <c r="AM2" s="1">
        <v>13</v>
      </c>
      <c r="AN2" s="1">
        <v>14</v>
      </c>
      <c r="AO2" s="1">
        <v>15</v>
      </c>
      <c r="AP2" s="1">
        <v>16</v>
      </c>
      <c r="AQ2" s="1">
        <v>17</v>
      </c>
      <c r="AR2" s="1">
        <v>18</v>
      </c>
      <c r="AS2" s="1">
        <v>19</v>
      </c>
    </row>
    <row r="3" spans="2:45" ht="15.6">
      <c r="B3" s="104"/>
      <c r="C3" s="335" t="s">
        <v>28</v>
      </c>
      <c r="D3" s="227"/>
      <c r="E3" s="336" t="s">
        <v>286</v>
      </c>
      <c r="F3" s="226"/>
      <c r="G3" s="227"/>
      <c r="H3" s="337" t="s">
        <v>74</v>
      </c>
      <c r="I3" s="226"/>
      <c r="J3" s="226"/>
      <c r="K3" s="227"/>
      <c r="L3" s="105"/>
      <c r="AA3">
        <v>2</v>
      </c>
      <c r="AB3" t="s">
        <v>217</v>
      </c>
      <c r="AC3">
        <v>10</v>
      </c>
      <c r="AD3">
        <v>3</v>
      </c>
      <c r="AE3">
        <v>2024</v>
      </c>
      <c r="AF3" t="s">
        <v>253</v>
      </c>
      <c r="AG3">
        <v>320000</v>
      </c>
      <c r="AH3" t="s">
        <v>254</v>
      </c>
      <c r="AI3" t="s">
        <v>255</v>
      </c>
      <c r="AJ3">
        <v>234509</v>
      </c>
      <c r="AK3" t="s">
        <v>220</v>
      </c>
      <c r="AL3">
        <v>320000</v>
      </c>
      <c r="AM3">
        <v>0</v>
      </c>
      <c r="AN3">
        <v>0</v>
      </c>
      <c r="AO3">
        <v>234512</v>
      </c>
      <c r="AP3" t="s">
        <v>224</v>
      </c>
      <c r="AQ3">
        <v>0</v>
      </c>
      <c r="AR3">
        <v>320000</v>
      </c>
      <c r="AS3">
        <v>0</v>
      </c>
    </row>
    <row r="4" spans="2:45">
      <c r="B4" s="104"/>
      <c r="C4" s="228"/>
      <c r="D4" s="220"/>
      <c r="E4" s="237" t="s">
        <v>209</v>
      </c>
      <c r="F4" s="215"/>
      <c r="G4" s="220"/>
      <c r="H4" s="228"/>
      <c r="I4" s="215"/>
      <c r="J4" s="215"/>
      <c r="K4" s="220"/>
      <c r="L4" s="105"/>
    </row>
    <row r="5" spans="2:45">
      <c r="B5" s="104"/>
      <c r="C5" s="228"/>
      <c r="D5" s="220"/>
      <c r="E5" s="237" t="s">
        <v>214</v>
      </c>
      <c r="F5" s="215"/>
      <c r="G5" s="220"/>
      <c r="H5" s="228"/>
      <c r="I5" s="215"/>
      <c r="J5" s="215"/>
      <c r="K5" s="220"/>
      <c r="L5" s="105"/>
    </row>
    <row r="6" spans="2:45">
      <c r="B6" s="104"/>
      <c r="C6" s="228"/>
      <c r="D6" s="220"/>
      <c r="E6" s="237">
        <v>3213652025</v>
      </c>
      <c r="F6" s="215"/>
      <c r="G6" s="220"/>
      <c r="H6" s="228"/>
      <c r="I6" s="215"/>
      <c r="J6" s="215"/>
      <c r="K6" s="220"/>
      <c r="L6" s="105"/>
    </row>
    <row r="7" spans="2:45">
      <c r="B7" s="104"/>
      <c r="C7" s="296"/>
      <c r="D7" s="222"/>
      <c r="E7" s="338" t="s">
        <v>211</v>
      </c>
      <c r="F7" s="283"/>
      <c r="G7" s="222"/>
      <c r="H7" s="228"/>
      <c r="I7" s="215"/>
      <c r="J7" s="215"/>
      <c r="K7" s="220"/>
      <c r="L7" s="105"/>
    </row>
    <row r="8" spans="2:45" ht="22.8">
      <c r="B8" s="104"/>
      <c r="C8" s="339"/>
      <c r="D8" s="275"/>
      <c r="E8" s="275"/>
      <c r="F8" s="275"/>
      <c r="G8" s="276"/>
      <c r="H8" s="106" t="s">
        <v>2</v>
      </c>
      <c r="I8" s="107">
        <v>2</v>
      </c>
      <c r="J8" s="108"/>
      <c r="K8" s="109"/>
      <c r="L8" s="105"/>
    </row>
    <row r="9" spans="2:45">
      <c r="B9" s="104"/>
      <c r="C9" s="340"/>
      <c r="D9" s="275"/>
      <c r="E9" s="275"/>
      <c r="F9" s="275"/>
      <c r="G9" s="275"/>
      <c r="H9" s="275"/>
      <c r="I9" s="275"/>
      <c r="J9" s="275"/>
      <c r="K9" s="276"/>
      <c r="L9" s="105"/>
    </row>
    <row r="10" spans="2:45">
      <c r="B10" s="104"/>
      <c r="C10" s="341" t="s">
        <v>75</v>
      </c>
      <c r="D10" s="342" t="str">
        <f>VLOOKUP(I8,MENOR,2)</f>
        <v xml:space="preserve">BOGOTÁ D.C </v>
      </c>
      <c r="E10" s="226"/>
      <c r="F10" s="226"/>
      <c r="G10" s="226"/>
      <c r="H10" s="227"/>
      <c r="I10" s="110" t="s">
        <v>76</v>
      </c>
      <c r="J10" s="111" t="s">
        <v>77</v>
      </c>
      <c r="K10" s="111" t="s">
        <v>78</v>
      </c>
      <c r="L10" s="105"/>
    </row>
    <row r="11" spans="2:45">
      <c r="B11" s="104"/>
      <c r="C11" s="293"/>
      <c r="D11" s="296"/>
      <c r="E11" s="283"/>
      <c r="F11" s="283"/>
      <c r="G11" s="283"/>
      <c r="H11" s="222"/>
      <c r="I11" s="112">
        <f>VLOOKUP(I8,MENOR,3)</f>
        <v>10</v>
      </c>
      <c r="J11" s="113">
        <f>VLOOKUP(I8,MENOR,4)</f>
        <v>3</v>
      </c>
      <c r="K11" s="113">
        <f>VLOOKUP(I8,MENOR,5)</f>
        <v>2024</v>
      </c>
      <c r="L11" s="105"/>
    </row>
    <row r="12" spans="2:45">
      <c r="B12" s="104"/>
      <c r="C12" s="114" t="s">
        <v>33</v>
      </c>
      <c r="D12" s="343" t="str">
        <f>VLOOKUP(I8,MENOR,6)</f>
        <v>TATIANA S.A.S</v>
      </c>
      <c r="E12" s="283"/>
      <c r="F12" s="283"/>
      <c r="G12" s="283"/>
      <c r="H12" s="222"/>
      <c r="I12" s="115" t="s">
        <v>79</v>
      </c>
      <c r="J12" s="344">
        <f>VLOOKUP(I8,MENOR,7)</f>
        <v>320000</v>
      </c>
      <c r="K12" s="276"/>
      <c r="L12" s="105"/>
    </row>
    <row r="13" spans="2:45">
      <c r="B13" s="104"/>
      <c r="C13" s="346" t="s">
        <v>64</v>
      </c>
      <c r="D13" s="275"/>
      <c r="E13" s="275"/>
      <c r="F13" s="275"/>
      <c r="G13" s="275"/>
      <c r="H13" s="275"/>
      <c r="I13" s="275"/>
      <c r="J13" s="275"/>
      <c r="K13" s="276"/>
      <c r="L13" s="105"/>
    </row>
    <row r="14" spans="2:45">
      <c r="B14" s="104"/>
      <c r="C14" s="347" t="str">
        <f>VLOOKUP(I8,MENOR,8)</f>
        <v>MASA PARA AREPAS</v>
      </c>
      <c r="D14" s="226"/>
      <c r="E14" s="226"/>
      <c r="F14" s="226"/>
      <c r="G14" s="226"/>
      <c r="H14" s="226"/>
      <c r="I14" s="226"/>
      <c r="J14" s="226"/>
      <c r="K14" s="227"/>
      <c r="L14" s="105"/>
    </row>
    <row r="15" spans="2:45">
      <c r="B15" s="104"/>
      <c r="C15" s="345" t="s">
        <v>80</v>
      </c>
      <c r="D15" s="226"/>
      <c r="E15" s="226"/>
      <c r="F15" s="226"/>
      <c r="G15" s="226"/>
      <c r="H15" s="226"/>
      <c r="I15" s="226"/>
      <c r="J15" s="226"/>
      <c r="K15" s="227"/>
      <c r="L15" s="105"/>
    </row>
    <row r="16" spans="2:45">
      <c r="B16" s="104"/>
      <c r="C16" s="348" t="str">
        <f>VLOOKUP(I8,MENOR,9)</f>
        <v>TRESIENTOS VEINTE MIL</v>
      </c>
      <c r="D16" s="275"/>
      <c r="E16" s="275"/>
      <c r="F16" s="275"/>
      <c r="G16" s="275"/>
      <c r="H16" s="275"/>
      <c r="I16" s="275"/>
      <c r="J16" s="275"/>
      <c r="K16" s="276"/>
      <c r="L16" s="105"/>
    </row>
    <row r="17" spans="2:12">
      <c r="B17" s="104"/>
      <c r="C17" s="116" t="s">
        <v>40</v>
      </c>
      <c r="D17" s="349" t="s">
        <v>69</v>
      </c>
      <c r="E17" s="276"/>
      <c r="F17" s="116" t="s">
        <v>70</v>
      </c>
      <c r="G17" s="116" t="s">
        <v>43</v>
      </c>
      <c r="H17" s="350" t="s">
        <v>81</v>
      </c>
      <c r="I17" s="226"/>
      <c r="J17" s="226"/>
      <c r="K17" s="227"/>
      <c r="L17" s="105"/>
    </row>
    <row r="18" spans="2:12">
      <c r="B18" s="104"/>
      <c r="C18" s="117">
        <f>VLOOKUP(I8,MENOR,10)</f>
        <v>234509</v>
      </c>
      <c r="D18" s="351" t="str">
        <f>VLOOKUP(I8,MENOR,11)</f>
        <v>COMPRA INGREDIENTES</v>
      </c>
      <c r="E18" s="276"/>
      <c r="F18" s="118">
        <f>VLOOKUP(I8,MENOR,12)</f>
        <v>320000</v>
      </c>
      <c r="G18" s="118">
        <f>VLOOKUP(I8,MENOR,13)</f>
        <v>0</v>
      </c>
      <c r="H18" s="228"/>
      <c r="I18" s="215"/>
      <c r="J18" s="215"/>
      <c r="K18" s="220"/>
      <c r="L18" s="105"/>
    </row>
    <row r="19" spans="2:12">
      <c r="B19" s="104"/>
      <c r="C19" s="117">
        <f>VLOOKUP(I8,MENOR,15)</f>
        <v>234512</v>
      </c>
      <c r="D19" s="351" t="str">
        <f>VLOOKUP(I8,MENOR,16)</f>
        <v>BANCOS</v>
      </c>
      <c r="E19" s="276"/>
      <c r="F19" s="118">
        <f>VLOOKUP(I8,MENOR,17)</f>
        <v>0</v>
      </c>
      <c r="G19" s="118">
        <f>VLOOKUP(I8,MENOR,18)</f>
        <v>320000</v>
      </c>
      <c r="H19" s="228"/>
      <c r="I19" s="215"/>
      <c r="J19" s="215"/>
      <c r="K19" s="220"/>
      <c r="L19" s="105"/>
    </row>
    <row r="20" spans="2:12">
      <c r="B20" s="104"/>
      <c r="C20" s="113"/>
      <c r="D20" s="351" t="s">
        <v>82</v>
      </c>
      <c r="E20" s="276"/>
      <c r="F20" s="113"/>
      <c r="G20" s="113"/>
      <c r="H20" s="228"/>
      <c r="I20" s="215"/>
      <c r="J20" s="215"/>
      <c r="K20" s="220"/>
      <c r="L20" s="105"/>
    </row>
    <row r="21" spans="2:12">
      <c r="B21" s="104"/>
      <c r="C21" s="350" t="s">
        <v>56</v>
      </c>
      <c r="D21" s="227"/>
      <c r="E21" s="345" t="s">
        <v>57</v>
      </c>
      <c r="F21" s="226"/>
      <c r="G21" s="227"/>
      <c r="H21" s="228"/>
      <c r="I21" s="215"/>
      <c r="J21" s="215"/>
      <c r="K21" s="220"/>
      <c r="L21" s="105"/>
    </row>
    <row r="22" spans="2:12">
      <c r="B22" s="104"/>
      <c r="C22" s="228"/>
      <c r="D22" s="220"/>
      <c r="E22" s="228"/>
      <c r="F22" s="215"/>
      <c r="G22" s="220"/>
      <c r="H22" s="296"/>
      <c r="I22" s="283"/>
      <c r="J22" s="283"/>
      <c r="K22" s="222"/>
      <c r="L22" s="105"/>
    </row>
    <row r="23" spans="2:12">
      <c r="B23" s="104"/>
      <c r="C23" s="296"/>
      <c r="D23" s="222"/>
      <c r="E23" s="296"/>
      <c r="F23" s="283"/>
      <c r="G23" s="222"/>
      <c r="H23" s="113" t="s">
        <v>83</v>
      </c>
      <c r="I23" s="113" t="s">
        <v>84</v>
      </c>
      <c r="J23" s="119" t="s">
        <v>85</v>
      </c>
      <c r="K23" s="113"/>
      <c r="L23" s="105"/>
    </row>
    <row r="24" spans="2:12" ht="15" thickBot="1"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2"/>
    </row>
  </sheetData>
  <mergeCells count="24">
    <mergeCell ref="E21:G23"/>
    <mergeCell ref="C13:K13"/>
    <mergeCell ref="C14:K14"/>
    <mergeCell ref="C15:K15"/>
    <mergeCell ref="C16:K16"/>
    <mergeCell ref="D17:E17"/>
    <mergeCell ref="H17:K22"/>
    <mergeCell ref="D18:E18"/>
    <mergeCell ref="D19:E19"/>
    <mergeCell ref="D20:E20"/>
    <mergeCell ref="C21:D23"/>
    <mergeCell ref="C8:G8"/>
    <mergeCell ref="C9:K9"/>
    <mergeCell ref="C10:C11"/>
    <mergeCell ref="D10:H11"/>
    <mergeCell ref="D12:H12"/>
    <mergeCell ref="J12:K12"/>
    <mergeCell ref="C3:D7"/>
    <mergeCell ref="E3:G3"/>
    <mergeCell ref="H3:K7"/>
    <mergeCell ref="E4:G4"/>
    <mergeCell ref="E5:G5"/>
    <mergeCell ref="E6:G6"/>
    <mergeCell ref="E7:G7"/>
  </mergeCells>
  <hyperlinks>
    <hyperlink ref="E7" r:id="rId1" xr:uid="{D8B8632F-5A4E-4960-B428-85943648AAEF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073C-0E42-4862-938F-DC1132F4E357}">
  <dimension ref="B1:AO21"/>
  <sheetViews>
    <sheetView zoomScale="96" zoomScaleNormal="96" workbookViewId="0">
      <selection activeCell="C3" sqref="C3"/>
    </sheetView>
  </sheetViews>
  <sheetFormatPr baseColWidth="10" defaultRowHeight="14.4"/>
  <cols>
    <col min="1" max="1" width="7" customWidth="1"/>
    <col min="28" max="28" width="13.6640625" customWidth="1"/>
    <col min="29" max="29" width="13.5546875" customWidth="1"/>
    <col min="30" max="30" width="29" customWidth="1"/>
    <col min="31" max="31" width="22.5546875" customWidth="1"/>
    <col min="32" max="32" width="23.33203125" customWidth="1"/>
    <col min="33" max="33" width="18.44140625" customWidth="1"/>
    <col min="35" max="35" width="22.88671875" customWidth="1"/>
    <col min="36" max="36" width="20" customWidth="1"/>
    <col min="38" max="38" width="15.5546875" customWidth="1"/>
    <col min="39" max="39" width="20.5546875" customWidth="1"/>
    <col min="40" max="41" width="24.109375" customWidth="1"/>
  </cols>
  <sheetData>
    <row r="1" spans="2:41">
      <c r="AA1" s="195" t="s">
        <v>123</v>
      </c>
      <c r="AB1" s="195" t="s">
        <v>151</v>
      </c>
      <c r="AC1" s="195" t="s">
        <v>119</v>
      </c>
      <c r="AD1" s="195" t="s">
        <v>41</v>
      </c>
      <c r="AE1" s="195" t="s">
        <v>185</v>
      </c>
      <c r="AF1" s="195" t="s">
        <v>186</v>
      </c>
      <c r="AG1" s="195" t="s">
        <v>187</v>
      </c>
      <c r="AH1" s="195" t="s">
        <v>145</v>
      </c>
      <c r="AI1" s="195" t="s">
        <v>188</v>
      </c>
      <c r="AJ1" s="195" t="s">
        <v>189</v>
      </c>
      <c r="AK1" s="196" t="s">
        <v>119</v>
      </c>
      <c r="AL1" s="196" t="s">
        <v>190</v>
      </c>
      <c r="AM1" s="196" t="s">
        <v>191</v>
      </c>
      <c r="AN1" s="196" t="s">
        <v>143</v>
      </c>
      <c r="AO1" s="196" t="s">
        <v>192</v>
      </c>
    </row>
    <row r="2" spans="2:41">
      <c r="B2" s="123" t="s">
        <v>86</v>
      </c>
      <c r="C2" s="124">
        <v>2</v>
      </c>
      <c r="D2" s="125"/>
      <c r="E2" s="125"/>
      <c r="F2" s="125"/>
      <c r="G2" s="125"/>
      <c r="H2" s="125"/>
      <c r="I2" s="125"/>
      <c r="J2" s="126"/>
      <c r="AA2">
        <v>1</v>
      </c>
      <c r="AB2">
        <v>2</v>
      </c>
      <c r="AC2">
        <v>3</v>
      </c>
      <c r="AD2" s="1">
        <v>4</v>
      </c>
      <c r="AE2" s="1">
        <v>5</v>
      </c>
      <c r="AF2" s="1">
        <v>6</v>
      </c>
      <c r="AG2" s="1">
        <v>7</v>
      </c>
      <c r="AH2" s="1">
        <v>8</v>
      </c>
      <c r="AI2" s="1">
        <v>9</v>
      </c>
      <c r="AJ2" s="1">
        <v>10</v>
      </c>
      <c r="AK2" s="1">
        <v>11</v>
      </c>
      <c r="AL2" s="1">
        <v>12</v>
      </c>
      <c r="AM2" s="1">
        <v>13</v>
      </c>
      <c r="AN2" s="1">
        <v>14</v>
      </c>
      <c r="AO2" s="1">
        <v>15</v>
      </c>
    </row>
    <row r="3" spans="2:41">
      <c r="B3" s="127"/>
      <c r="C3" s="128"/>
      <c r="D3" s="129"/>
      <c r="E3" s="130"/>
      <c r="F3" s="129"/>
      <c r="G3" s="129"/>
      <c r="H3" s="129"/>
      <c r="I3" s="129"/>
      <c r="J3" s="131"/>
      <c r="AA3">
        <v>2</v>
      </c>
      <c r="AB3">
        <v>1227</v>
      </c>
      <c r="AC3" s="201">
        <v>45362</v>
      </c>
      <c r="AD3" t="s">
        <v>256</v>
      </c>
      <c r="AE3" t="s">
        <v>257</v>
      </c>
      <c r="AF3">
        <v>200000</v>
      </c>
      <c r="AG3">
        <v>100000</v>
      </c>
      <c r="AH3">
        <f>AF3+AG3</f>
        <v>300000</v>
      </c>
      <c r="AI3">
        <v>0</v>
      </c>
      <c r="AJ3">
        <f>AH3-AI3</f>
        <v>300000</v>
      </c>
      <c r="AK3" s="201">
        <v>45362</v>
      </c>
      <c r="AL3">
        <v>1227</v>
      </c>
      <c r="AM3" t="s">
        <v>257</v>
      </c>
      <c r="AN3" t="s">
        <v>258</v>
      </c>
      <c r="AO3">
        <v>2</v>
      </c>
    </row>
    <row r="4" spans="2:41">
      <c r="B4" s="132"/>
      <c r="C4" s="128"/>
      <c r="D4" s="129"/>
      <c r="E4" s="133" t="s">
        <v>259</v>
      </c>
      <c r="F4" s="129"/>
      <c r="G4" s="129"/>
      <c r="H4" s="129" t="s">
        <v>87</v>
      </c>
      <c r="I4" s="134">
        <f>VLOOKUP(C2,CHEQUE.,11)</f>
        <v>45362</v>
      </c>
      <c r="J4" s="131"/>
    </row>
    <row r="5" spans="2:41">
      <c r="B5" s="132" t="s">
        <v>45</v>
      </c>
      <c r="C5" s="135">
        <f>VLOOKUP(C2,CHEQUE.,2)</f>
        <v>1227</v>
      </c>
      <c r="D5" s="129"/>
      <c r="E5" s="136"/>
      <c r="F5" s="129"/>
      <c r="G5" s="129"/>
      <c r="H5" s="129"/>
      <c r="I5" s="137"/>
      <c r="J5" s="131"/>
    </row>
    <row r="6" spans="2:41">
      <c r="B6" s="132"/>
      <c r="C6" s="135"/>
      <c r="D6" s="129"/>
      <c r="E6" s="129" t="s">
        <v>88</v>
      </c>
      <c r="F6" s="63">
        <f>VLOOKUP(C2,CHEQUE.,12)</f>
        <v>1227</v>
      </c>
      <c r="G6" s="63"/>
      <c r="H6" s="138"/>
      <c r="I6" s="139"/>
      <c r="J6" s="131"/>
    </row>
    <row r="7" spans="2:41">
      <c r="B7" s="132"/>
      <c r="C7" s="128"/>
      <c r="D7" s="129"/>
      <c r="H7" s="356"/>
      <c r="I7" s="215"/>
      <c r="J7" s="220"/>
    </row>
    <row r="8" spans="2:41">
      <c r="B8" s="132" t="s">
        <v>34</v>
      </c>
      <c r="C8" s="140">
        <f>VLOOKUP(C2,CHEQUE.,3)</f>
        <v>45362</v>
      </c>
      <c r="D8" s="129"/>
      <c r="E8" s="139"/>
      <c r="F8" s="137"/>
      <c r="G8" s="139"/>
      <c r="H8" s="129"/>
      <c r="I8" s="136"/>
      <c r="J8" s="141"/>
    </row>
    <row r="9" spans="2:41">
      <c r="B9" s="352" t="s">
        <v>89</v>
      </c>
      <c r="C9" s="216"/>
      <c r="D9" s="129"/>
      <c r="E9" s="129"/>
      <c r="F9" s="129"/>
      <c r="G9" s="129"/>
      <c r="H9" s="129"/>
      <c r="I9" s="129"/>
      <c r="J9" s="131"/>
    </row>
    <row r="10" spans="2:41">
      <c r="B10" s="352" t="str">
        <f>VLOOKUP(C2,CHEQUE.,4)</f>
        <v>PAGO POR PAQUETES DE AREPAS</v>
      </c>
      <c r="C10" s="216"/>
      <c r="D10" s="353" t="s">
        <v>90</v>
      </c>
      <c r="E10" s="215"/>
      <c r="F10" s="215"/>
      <c r="G10" s="215"/>
      <c r="H10" s="215"/>
      <c r="I10" s="215"/>
      <c r="J10" s="220"/>
    </row>
    <row r="11" spans="2:41">
      <c r="B11" s="352" t="s">
        <v>91</v>
      </c>
      <c r="C11" s="216"/>
      <c r="D11" s="354" t="str">
        <f>VLOOKUP(C2,CHEQUE.,13)</f>
        <v>ALMACEN ALKOSTO S.A</v>
      </c>
      <c r="E11" s="215"/>
      <c r="F11" s="215"/>
      <c r="G11" s="215"/>
      <c r="H11" s="215"/>
      <c r="I11" s="215"/>
      <c r="J11" s="220"/>
    </row>
    <row r="12" spans="2:41">
      <c r="B12" s="352" t="str">
        <f>VLOOKUP(C2,CHEQUE.,5)</f>
        <v>ALMACEN ALKOSTO S.A</v>
      </c>
      <c r="C12" s="216"/>
      <c r="D12" s="353" t="s">
        <v>92</v>
      </c>
      <c r="E12" s="215"/>
      <c r="F12" s="215"/>
      <c r="G12" s="215"/>
      <c r="H12" s="215"/>
      <c r="I12" s="215"/>
      <c r="J12" s="220"/>
    </row>
    <row r="13" spans="2:41">
      <c r="B13" s="142" t="s">
        <v>93</v>
      </c>
      <c r="C13" s="143">
        <f>VLOOKUP(C2,CHEQUE.,6)</f>
        <v>200000</v>
      </c>
      <c r="D13" s="354" t="str">
        <f>VLOOKUP(C2,CHEQUE.,14)</f>
        <v>TRECIENTOS MIL</v>
      </c>
      <c r="E13" s="215"/>
      <c r="F13" s="215"/>
      <c r="G13" s="215"/>
      <c r="H13" s="215"/>
      <c r="I13" s="215"/>
      <c r="J13" s="220"/>
    </row>
    <row r="14" spans="2:41">
      <c r="B14" s="142" t="s">
        <v>94</v>
      </c>
      <c r="C14" s="143">
        <f>VLOOKUP(C2,CHEQUE.,7)</f>
        <v>100000</v>
      </c>
      <c r="D14" s="129"/>
      <c r="E14" s="129"/>
      <c r="F14" s="129"/>
      <c r="G14" s="129"/>
      <c r="H14" s="129"/>
      <c r="I14" s="129"/>
      <c r="J14" s="131"/>
    </row>
    <row r="15" spans="2:41">
      <c r="B15" s="142" t="s">
        <v>95</v>
      </c>
      <c r="C15" s="143">
        <f>VLOOKUP(C2,CHEQUE.,8)</f>
        <v>300000</v>
      </c>
      <c r="D15" s="129"/>
      <c r="E15" s="129"/>
      <c r="F15" s="144"/>
      <c r="G15" s="144"/>
      <c r="H15" s="144"/>
      <c r="I15" s="144"/>
      <c r="J15" s="131"/>
    </row>
    <row r="16" spans="2:41">
      <c r="B16" s="145" t="s">
        <v>96</v>
      </c>
      <c r="C16" s="143">
        <f>VLOOKUP(C2,CHEQUE.,9)</f>
        <v>0</v>
      </c>
      <c r="D16" s="129"/>
      <c r="E16" s="129"/>
      <c r="F16" s="355" t="s">
        <v>97</v>
      </c>
      <c r="G16" s="226"/>
      <c r="H16" s="226"/>
      <c r="I16" s="226"/>
      <c r="J16" s="131"/>
    </row>
    <row r="17" spans="2:10">
      <c r="B17" s="142" t="s">
        <v>98</v>
      </c>
      <c r="C17" s="143">
        <f>VLOOKUP(C2,CHEQUE.,10)</f>
        <v>300000</v>
      </c>
      <c r="D17" s="129"/>
      <c r="E17" s="129"/>
      <c r="F17" s="136"/>
      <c r="G17" s="136"/>
      <c r="H17" s="136"/>
      <c r="I17" s="136"/>
      <c r="J17" s="131"/>
    </row>
    <row r="18" spans="2:10">
      <c r="B18" s="146"/>
      <c r="C18" s="147"/>
      <c r="D18" s="144"/>
      <c r="E18" s="144" t="s">
        <v>99</v>
      </c>
      <c r="F18" s="148"/>
      <c r="G18" s="148">
        <f>VLOOKUP(C2,CHEQUE.,15)</f>
        <v>2</v>
      </c>
      <c r="H18" s="148"/>
      <c r="I18" s="148"/>
      <c r="J18" s="149"/>
    </row>
    <row r="19" spans="2:10">
      <c r="B19" s="150"/>
      <c r="C19" s="151"/>
      <c r="D19" s="151"/>
      <c r="E19" s="151"/>
      <c r="F19" s="152"/>
      <c r="G19" s="151"/>
      <c r="H19" s="151"/>
      <c r="I19" s="151"/>
      <c r="J19" s="151"/>
    </row>
    <row r="20" spans="2:10">
      <c r="B20" s="136"/>
      <c r="C20" s="136"/>
      <c r="D20" s="136"/>
      <c r="E20" s="136"/>
      <c r="F20" s="136"/>
      <c r="G20" s="136"/>
      <c r="H20" s="136"/>
      <c r="I20" s="136"/>
      <c r="J20" s="136"/>
    </row>
    <row r="21" spans="2:10">
      <c r="B21" s="136"/>
      <c r="C21" s="136"/>
      <c r="D21" s="136"/>
      <c r="E21" s="136"/>
      <c r="F21" s="136"/>
      <c r="G21" s="136"/>
      <c r="H21" s="136"/>
      <c r="I21" s="136"/>
      <c r="J21" s="136"/>
    </row>
  </sheetData>
  <mergeCells count="10">
    <mergeCell ref="B12:C12"/>
    <mergeCell ref="D12:J12"/>
    <mergeCell ref="D13:J13"/>
    <mergeCell ref="F16:I16"/>
    <mergeCell ref="H7:J7"/>
    <mergeCell ref="B9:C9"/>
    <mergeCell ref="B10:C10"/>
    <mergeCell ref="D10:J10"/>
    <mergeCell ref="B11:C11"/>
    <mergeCell ref="D11:J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EBE5-6B39-4F2B-8F64-CC37CA4AF067}">
  <dimension ref="B1:AU14"/>
  <sheetViews>
    <sheetView topLeftCell="F1" zoomScale="95" zoomScaleNormal="95" workbookViewId="0">
      <selection activeCell="K4" sqref="K4"/>
    </sheetView>
  </sheetViews>
  <sheetFormatPr baseColWidth="10" defaultRowHeight="14.4"/>
  <cols>
    <col min="28" max="28" width="14.44140625" customWidth="1"/>
    <col min="29" max="29" width="13" customWidth="1"/>
    <col min="30" max="30" width="20" customWidth="1"/>
    <col min="31" max="31" width="16.33203125" customWidth="1"/>
    <col min="32" max="32" width="18.88671875" customWidth="1"/>
    <col min="33" max="33" width="14.109375" customWidth="1"/>
    <col min="34" max="34" width="17.5546875" customWidth="1"/>
    <col min="35" max="35" width="15.88671875" customWidth="1"/>
    <col min="37" max="37" width="21.109375" customWidth="1"/>
    <col min="38" max="38" width="28.44140625" customWidth="1"/>
    <col min="42" max="42" width="32.33203125" customWidth="1"/>
    <col min="43" max="43" width="20.44140625" customWidth="1"/>
    <col min="44" max="44" width="23.88671875" customWidth="1"/>
    <col min="45" max="45" width="55.33203125" customWidth="1"/>
  </cols>
  <sheetData>
    <row r="1" spans="2:47">
      <c r="Z1" s="63" t="s">
        <v>193</v>
      </c>
      <c r="AA1" s="38" t="s">
        <v>2</v>
      </c>
      <c r="AB1" s="38">
        <v>1</v>
      </c>
      <c r="AC1" s="38" t="s">
        <v>194</v>
      </c>
      <c r="AD1" s="38" t="s">
        <v>112</v>
      </c>
      <c r="AE1" s="38" t="s">
        <v>128</v>
      </c>
      <c r="AF1" s="38">
        <v>1</v>
      </c>
      <c r="AG1" s="38" t="s">
        <v>194</v>
      </c>
      <c r="AH1" s="38" t="s">
        <v>112</v>
      </c>
      <c r="AI1" s="38" t="s">
        <v>128</v>
      </c>
      <c r="AJ1" s="38" t="s">
        <v>195</v>
      </c>
      <c r="AK1" s="38" t="s">
        <v>196</v>
      </c>
      <c r="AL1" s="38" t="s">
        <v>197</v>
      </c>
      <c r="AM1" s="38" t="s">
        <v>105</v>
      </c>
      <c r="AN1" s="38" t="s">
        <v>106</v>
      </c>
      <c r="AO1" s="38" t="s">
        <v>107</v>
      </c>
      <c r="AP1" s="38" t="s">
        <v>198</v>
      </c>
      <c r="AQ1" s="38" t="s">
        <v>109</v>
      </c>
      <c r="AR1" s="38" t="s">
        <v>110</v>
      </c>
      <c r="AS1" s="197" t="s">
        <v>199</v>
      </c>
    </row>
    <row r="2" spans="2:47">
      <c r="B2" s="357"/>
      <c r="C2" s="357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AA2">
        <v>1</v>
      </c>
      <c r="AB2">
        <v>2</v>
      </c>
      <c r="AC2">
        <v>3</v>
      </c>
      <c r="AD2" s="1">
        <v>4</v>
      </c>
      <c r="AE2" s="1">
        <v>5</v>
      </c>
      <c r="AF2" s="1">
        <v>6</v>
      </c>
      <c r="AG2" s="1">
        <v>7</v>
      </c>
      <c r="AH2" s="1">
        <v>8</v>
      </c>
      <c r="AI2" s="1">
        <v>9</v>
      </c>
      <c r="AJ2" s="1">
        <v>10</v>
      </c>
      <c r="AK2" s="1">
        <v>11</v>
      </c>
      <c r="AL2" s="1">
        <v>12</v>
      </c>
      <c r="AM2" s="1">
        <v>13</v>
      </c>
      <c r="AN2" s="1">
        <v>14</v>
      </c>
      <c r="AO2" s="1">
        <v>15</v>
      </c>
      <c r="AP2" s="1">
        <v>16</v>
      </c>
      <c r="AQ2" s="1">
        <v>17</v>
      </c>
      <c r="AR2" s="1">
        <v>18</v>
      </c>
      <c r="AS2" s="1">
        <v>19</v>
      </c>
      <c r="AT2" s="1"/>
      <c r="AU2" s="1"/>
    </row>
    <row r="3" spans="2:47" ht="18">
      <c r="B3" s="358"/>
      <c r="C3" s="153"/>
      <c r="D3" s="154"/>
      <c r="E3" s="155"/>
      <c r="F3" s="153"/>
      <c r="G3" s="154"/>
      <c r="H3" s="154"/>
      <c r="I3" s="359">
        <f>VLOOKUP(K3,LETRA.,10)</f>
        <v>0</v>
      </c>
      <c r="J3" s="156" t="s">
        <v>100</v>
      </c>
      <c r="K3" s="157">
        <v>2</v>
      </c>
      <c r="L3" s="362" t="s">
        <v>101</v>
      </c>
      <c r="M3" s="363"/>
      <c r="N3" s="158" t="s">
        <v>102</v>
      </c>
      <c r="O3" s="159">
        <f>VLOOKUP(K3,LETRA.,11)</f>
        <v>500000</v>
      </c>
      <c r="P3" s="160"/>
      <c r="Q3" s="155"/>
      <c r="R3" s="364"/>
      <c r="AA3">
        <v>2</v>
      </c>
      <c r="AB3" t="s">
        <v>260</v>
      </c>
      <c r="AC3">
        <v>23654876</v>
      </c>
      <c r="AD3" t="s">
        <v>261</v>
      </c>
      <c r="AE3">
        <v>320987654</v>
      </c>
      <c r="AF3" t="s">
        <v>262</v>
      </c>
      <c r="AG3">
        <v>82654378</v>
      </c>
      <c r="AH3" t="s">
        <v>263</v>
      </c>
      <c r="AI3">
        <v>3103842040</v>
      </c>
      <c r="AK3">
        <v>500000</v>
      </c>
      <c r="AL3" t="s">
        <v>264</v>
      </c>
      <c r="AM3">
        <v>14</v>
      </c>
      <c r="AN3" t="s">
        <v>265</v>
      </c>
      <c r="AO3">
        <v>2024</v>
      </c>
      <c r="AP3" t="s">
        <v>46</v>
      </c>
      <c r="AQ3" t="s">
        <v>225</v>
      </c>
      <c r="AR3">
        <v>500000</v>
      </c>
      <c r="AS3" s="203">
        <v>0.1</v>
      </c>
    </row>
    <row r="4" spans="2:47">
      <c r="B4" s="358"/>
      <c r="C4" s="366" t="str">
        <f>VLOOKUP(K3,LETRA.,2)</f>
        <v xml:space="preserve">PEDRO ARIAS </v>
      </c>
      <c r="D4" s="366">
        <f>VLOOKUP(K3,LETRA.,3)</f>
        <v>23654876</v>
      </c>
      <c r="E4" s="367">
        <f>VLOOKUP(K3,LETRA.,5)</f>
        <v>320987654</v>
      </c>
      <c r="F4" s="366" t="str">
        <f>VLOOKUP(K3,LETRA.,6)</f>
        <v>MARIA CASTRO</v>
      </c>
      <c r="G4" s="366">
        <f>VLOOKUP(K3,LETRA.,7)</f>
        <v>82654378</v>
      </c>
      <c r="H4" s="369">
        <f>VLOOKUP(K3,LETRA.,9)</f>
        <v>3103842040</v>
      </c>
      <c r="I4" s="360"/>
      <c r="J4" s="161"/>
      <c r="K4" s="136"/>
      <c r="L4" s="136"/>
      <c r="M4" s="136"/>
      <c r="N4" s="136"/>
      <c r="O4" s="136"/>
      <c r="P4" s="136"/>
      <c r="Q4" s="162"/>
      <c r="R4" s="365"/>
    </row>
    <row r="5" spans="2:47">
      <c r="B5" s="358"/>
      <c r="C5" s="360"/>
      <c r="D5" s="360"/>
      <c r="E5" s="368"/>
      <c r="F5" s="360"/>
      <c r="G5" s="360"/>
      <c r="H5" s="368"/>
      <c r="I5" s="360"/>
      <c r="J5" s="370" t="s">
        <v>103</v>
      </c>
      <c r="K5" s="215"/>
      <c r="L5" s="371" t="str">
        <f>VLOOKUP(K3,LETRA.,12)</f>
        <v>PEDRO ARIAS Y MARIA CASTRO</v>
      </c>
      <c r="M5" s="372"/>
      <c r="N5" s="372"/>
      <c r="O5" s="372"/>
      <c r="P5" s="372"/>
      <c r="Q5" s="162"/>
      <c r="R5" s="365"/>
    </row>
    <row r="6" spans="2:47" ht="15.6">
      <c r="B6" s="358"/>
      <c r="C6" s="360"/>
      <c r="D6" s="360"/>
      <c r="E6" s="163" t="s">
        <v>104</v>
      </c>
      <c r="F6" s="360"/>
      <c r="G6" s="360"/>
      <c r="H6" s="163" t="s">
        <v>104</v>
      </c>
      <c r="I6" s="360"/>
      <c r="J6" s="164" t="s">
        <v>105</v>
      </c>
      <c r="K6" s="165">
        <f>VLOOKUP(K3,LETRA.,13)</f>
        <v>14</v>
      </c>
      <c r="L6" s="166" t="s">
        <v>106</v>
      </c>
      <c r="M6" s="167" t="str">
        <f>VLOOKUP(K3,LETRA.,14)</f>
        <v>MARZO</v>
      </c>
      <c r="N6" s="166" t="s">
        <v>107</v>
      </c>
      <c r="O6" s="371">
        <f>VLOOKUP(K3,LETRA.,15)</f>
        <v>2024</v>
      </c>
      <c r="P6" s="372"/>
      <c r="Q6" s="162"/>
      <c r="R6" s="365"/>
    </row>
    <row r="7" spans="2:47">
      <c r="B7" s="358"/>
      <c r="C7" s="360"/>
      <c r="D7" s="360"/>
      <c r="E7" s="373" t="str">
        <f>VLOOKUP(K3,LETRA.,4)</f>
        <v>CALLE 110C N0 36-12</v>
      </c>
      <c r="F7" s="360"/>
      <c r="G7" s="360"/>
      <c r="H7" s="369" t="str">
        <f>VLOOKUP(K3,LETRA.,8)</f>
        <v>CALLE 5 CRA 12A</v>
      </c>
      <c r="I7" s="360"/>
      <c r="J7" s="370" t="s">
        <v>108</v>
      </c>
      <c r="K7" s="215"/>
      <c r="L7" s="215"/>
      <c r="M7" s="371" t="str">
        <f>VLOOKUP(K3,LETRA.,16)</f>
        <v>EFECTIVO</v>
      </c>
      <c r="N7" s="372"/>
      <c r="O7" s="372"/>
      <c r="P7" s="372"/>
      <c r="Q7" s="162"/>
      <c r="R7" s="365"/>
    </row>
    <row r="8" spans="2:47">
      <c r="B8" s="358"/>
      <c r="C8" s="360"/>
      <c r="D8" s="360"/>
      <c r="E8" s="360"/>
      <c r="F8" s="360"/>
      <c r="G8" s="360"/>
      <c r="H8" s="368"/>
      <c r="I8" s="360"/>
      <c r="J8" s="370" t="s">
        <v>109</v>
      </c>
      <c r="K8" s="215"/>
      <c r="L8" s="371" t="str">
        <f>VLOOKUP(K3,LETRA.,17)</f>
        <v>TATIANA'SA</v>
      </c>
      <c r="M8" s="372"/>
      <c r="N8" s="372"/>
      <c r="O8" s="372"/>
      <c r="P8" s="372"/>
      <c r="Q8" s="162"/>
      <c r="R8" s="365"/>
    </row>
    <row r="9" spans="2:47">
      <c r="B9" s="358"/>
      <c r="C9" s="360"/>
      <c r="D9" s="360"/>
      <c r="E9" s="360"/>
      <c r="F9" s="360"/>
      <c r="G9" s="360"/>
      <c r="H9" s="368"/>
      <c r="I9" s="360"/>
      <c r="J9" s="370" t="s">
        <v>110</v>
      </c>
      <c r="K9" s="215"/>
      <c r="L9" s="374">
        <f>VLOOKUP(K3,LETRA.,18)</f>
        <v>500000</v>
      </c>
      <c r="M9" s="372"/>
      <c r="N9" s="372"/>
      <c r="O9" s="372"/>
      <c r="P9" s="372"/>
      <c r="Q9" s="162"/>
      <c r="R9" s="365"/>
    </row>
    <row r="10" spans="2:47">
      <c r="B10" s="358"/>
      <c r="C10" s="360"/>
      <c r="D10" s="360"/>
      <c r="E10" s="360"/>
      <c r="F10" s="360"/>
      <c r="G10" s="360"/>
      <c r="H10" s="368"/>
      <c r="I10" s="360"/>
      <c r="J10" s="375" t="s">
        <v>111</v>
      </c>
      <c r="K10" s="215"/>
      <c r="L10" s="215"/>
      <c r="M10" s="215"/>
      <c r="N10" s="376">
        <f>VLOOKUP(K3,LETRA.,19)</f>
        <v>0.1</v>
      </c>
      <c r="O10" s="372"/>
      <c r="P10" s="372"/>
      <c r="Q10" s="162"/>
      <c r="R10" s="365"/>
    </row>
    <row r="11" spans="2:47">
      <c r="B11" s="358"/>
      <c r="C11" s="360"/>
      <c r="D11" s="360"/>
      <c r="E11" s="377" t="s">
        <v>112</v>
      </c>
      <c r="F11" s="360"/>
      <c r="G11" s="360"/>
      <c r="H11" s="377" t="s">
        <v>112</v>
      </c>
      <c r="I11" s="360"/>
      <c r="J11" s="379"/>
      <c r="K11" s="372"/>
      <c r="L11" s="168"/>
      <c r="M11" s="164" t="s">
        <v>113</v>
      </c>
      <c r="N11" s="168"/>
      <c r="O11" s="168"/>
      <c r="P11" s="168"/>
      <c r="Q11" s="162"/>
      <c r="R11" s="365"/>
    </row>
    <row r="12" spans="2:47" ht="18">
      <c r="B12" s="358"/>
      <c r="C12" s="169" t="s">
        <v>114</v>
      </c>
      <c r="D12" s="170" t="s">
        <v>115</v>
      </c>
      <c r="E12" s="378"/>
      <c r="F12" s="169" t="s">
        <v>114</v>
      </c>
      <c r="G12" s="170" t="s">
        <v>115</v>
      </c>
      <c r="H12" s="378"/>
      <c r="I12" s="360"/>
      <c r="J12" s="380" t="s">
        <v>116</v>
      </c>
      <c r="K12" s="363"/>
      <c r="L12" s="381"/>
      <c r="M12" s="372"/>
      <c r="N12" s="171"/>
      <c r="O12" s="382"/>
      <c r="P12" s="372"/>
      <c r="Q12" s="162"/>
      <c r="R12" s="365"/>
    </row>
    <row r="13" spans="2:47">
      <c r="B13" s="358"/>
      <c r="C13" s="383" t="s">
        <v>117</v>
      </c>
      <c r="D13" s="358"/>
      <c r="E13" s="358"/>
      <c r="F13" s="384" t="s">
        <v>117</v>
      </c>
      <c r="G13" s="363"/>
      <c r="H13" s="385"/>
      <c r="I13" s="361"/>
      <c r="J13" s="172"/>
      <c r="K13" s="173"/>
      <c r="L13" s="386" t="s">
        <v>118</v>
      </c>
      <c r="M13" s="372"/>
      <c r="N13" s="174" t="s">
        <v>75</v>
      </c>
      <c r="O13" s="386" t="s">
        <v>119</v>
      </c>
      <c r="P13" s="372"/>
      <c r="Q13" s="175"/>
      <c r="R13" s="365"/>
    </row>
    <row r="14" spans="2:47">
      <c r="B14" s="358"/>
      <c r="C14" s="357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</row>
  </sheetData>
  <mergeCells count="35">
    <mergeCell ref="C13:E13"/>
    <mergeCell ref="F13:H13"/>
    <mergeCell ref="L13:M13"/>
    <mergeCell ref="O13:P13"/>
    <mergeCell ref="C14:R14"/>
    <mergeCell ref="J10:M10"/>
    <mergeCell ref="N10:P10"/>
    <mergeCell ref="E11:E12"/>
    <mergeCell ref="H11:H12"/>
    <mergeCell ref="J11:K11"/>
    <mergeCell ref="J12:K12"/>
    <mergeCell ref="L12:M12"/>
    <mergeCell ref="O12:P12"/>
    <mergeCell ref="J7:L7"/>
    <mergeCell ref="M7:P7"/>
    <mergeCell ref="J8:K8"/>
    <mergeCell ref="L8:P8"/>
    <mergeCell ref="J9:K9"/>
    <mergeCell ref="L9:P9"/>
    <mergeCell ref="B2:B14"/>
    <mergeCell ref="C2:R2"/>
    <mergeCell ref="I3:I13"/>
    <mergeCell ref="L3:M3"/>
    <mergeCell ref="R3:R13"/>
    <mergeCell ref="C4:C11"/>
    <mergeCell ref="D4:D11"/>
    <mergeCell ref="E4:E5"/>
    <mergeCell ref="F4:F11"/>
    <mergeCell ref="G4:G11"/>
    <mergeCell ref="H4:H5"/>
    <mergeCell ref="J5:K5"/>
    <mergeCell ref="L5:P5"/>
    <mergeCell ref="O6:P6"/>
    <mergeCell ref="E7:E10"/>
    <mergeCell ref="H7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E991A-8F89-474C-AF54-5B258EB2EC4E}">
  <dimension ref="B1:AQ22"/>
  <sheetViews>
    <sheetView zoomScale="95" zoomScaleNormal="95" workbookViewId="0">
      <selection activeCell="C3" sqref="C3:F3"/>
    </sheetView>
  </sheetViews>
  <sheetFormatPr baseColWidth="10" defaultRowHeight="14.4"/>
  <cols>
    <col min="1" max="1" width="2.33203125" customWidth="1"/>
    <col min="2" max="2" width="27.33203125" customWidth="1"/>
    <col min="25" max="25" width="0.109375" customWidth="1"/>
    <col min="26" max="26" width="23.5546875" customWidth="1"/>
    <col min="27" max="27" width="15.44140625" customWidth="1"/>
    <col min="28" max="28" width="23.88671875" customWidth="1"/>
    <col min="29" max="29" width="21.33203125" customWidth="1"/>
    <col min="30" max="30" width="13.6640625" customWidth="1"/>
    <col min="32" max="32" width="13.6640625" customWidth="1"/>
    <col min="33" max="33" width="40.33203125" customWidth="1"/>
    <col min="34" max="34" width="21.33203125" customWidth="1"/>
    <col min="35" max="35" width="27.33203125" customWidth="1"/>
    <col min="36" max="36" width="23.88671875" customWidth="1"/>
    <col min="37" max="37" width="19.88671875" customWidth="1"/>
    <col min="38" max="38" width="19.33203125" customWidth="1"/>
    <col min="39" max="39" width="17.6640625" customWidth="1"/>
    <col min="40" max="40" width="22.44140625" customWidth="1"/>
    <col min="41" max="41" width="14.44140625" customWidth="1"/>
  </cols>
  <sheetData>
    <row r="1" spans="2:43" ht="15" thickBot="1">
      <c r="Z1" s="198" t="s">
        <v>200</v>
      </c>
      <c r="AA1" s="198" t="s">
        <v>2</v>
      </c>
      <c r="AB1" s="198" t="s">
        <v>201</v>
      </c>
      <c r="AC1" s="198" t="s">
        <v>202</v>
      </c>
      <c r="AD1" s="198" t="s">
        <v>142</v>
      </c>
      <c r="AE1" s="198" t="s">
        <v>203</v>
      </c>
      <c r="AF1" s="198" t="s">
        <v>204</v>
      </c>
      <c r="AG1" s="198" t="s">
        <v>164</v>
      </c>
      <c r="AH1" s="198" t="s">
        <v>112</v>
      </c>
      <c r="AI1" s="198" t="s">
        <v>205</v>
      </c>
      <c r="AJ1" s="198" t="s">
        <v>206</v>
      </c>
      <c r="AK1" s="198" t="s">
        <v>131</v>
      </c>
      <c r="AL1" s="198" t="s">
        <v>122</v>
      </c>
      <c r="AM1" s="198" t="s">
        <v>207</v>
      </c>
      <c r="AN1" s="198" t="s">
        <v>69</v>
      </c>
      <c r="AO1" s="198" t="s">
        <v>208</v>
      </c>
      <c r="AP1" s="198" t="s">
        <v>43</v>
      </c>
      <c r="AQ1" s="198"/>
    </row>
    <row r="2" spans="2:43" ht="15" thickBot="1">
      <c r="B2" s="35"/>
      <c r="C2" s="35"/>
      <c r="D2" s="35"/>
      <c r="E2" s="35"/>
      <c r="F2" s="35"/>
      <c r="G2" s="35"/>
      <c r="H2" s="35"/>
      <c r="I2" s="35"/>
      <c r="AA2">
        <v>1</v>
      </c>
      <c r="AB2">
        <v>2</v>
      </c>
      <c r="AC2">
        <v>3</v>
      </c>
      <c r="AD2" s="1">
        <v>4</v>
      </c>
      <c r="AE2" s="1">
        <v>5</v>
      </c>
      <c r="AF2" s="1">
        <v>6</v>
      </c>
      <c r="AG2" s="1">
        <v>7</v>
      </c>
      <c r="AH2" s="1">
        <v>8</v>
      </c>
      <c r="AI2" s="1">
        <v>9</v>
      </c>
      <c r="AJ2" s="1">
        <v>10</v>
      </c>
      <c r="AK2" s="1">
        <v>11</v>
      </c>
      <c r="AL2" s="1">
        <v>12</v>
      </c>
      <c r="AM2" s="1">
        <v>13</v>
      </c>
      <c r="AN2" s="1">
        <v>14</v>
      </c>
      <c r="AO2" s="1">
        <v>15</v>
      </c>
      <c r="AP2" s="1">
        <v>16</v>
      </c>
    </row>
    <row r="3" spans="2:43" ht="17.399999999999999">
      <c r="B3" s="387" t="s">
        <v>28</v>
      </c>
      <c r="C3" s="390" t="s">
        <v>286</v>
      </c>
      <c r="D3" s="391"/>
      <c r="E3" s="391"/>
      <c r="F3" s="392"/>
      <c r="G3" s="393" t="s">
        <v>120</v>
      </c>
      <c r="H3" s="224"/>
      <c r="I3" s="313"/>
      <c r="Z3" s="198"/>
      <c r="AA3" s="198">
        <v>2</v>
      </c>
      <c r="AB3" s="198" t="s">
        <v>266</v>
      </c>
      <c r="AC3" s="198" t="s">
        <v>267</v>
      </c>
      <c r="AD3" s="204">
        <v>700000</v>
      </c>
      <c r="AE3" s="205">
        <v>45365</v>
      </c>
      <c r="AF3" s="198" t="s">
        <v>268</v>
      </c>
      <c r="AG3" s="206" t="s">
        <v>269</v>
      </c>
      <c r="AH3" s="198" t="s">
        <v>270</v>
      </c>
      <c r="AI3" s="198" t="s">
        <v>271</v>
      </c>
      <c r="AJ3" s="198" t="s">
        <v>272</v>
      </c>
      <c r="AK3" s="198" t="s">
        <v>46</v>
      </c>
      <c r="AL3" s="198" t="s">
        <v>225</v>
      </c>
      <c r="AM3" s="198">
        <v>345627</v>
      </c>
      <c r="AN3" s="198" t="s">
        <v>273</v>
      </c>
      <c r="AO3" s="198">
        <v>0</v>
      </c>
      <c r="AP3" s="198">
        <v>700000</v>
      </c>
    </row>
    <row r="4" spans="2:43">
      <c r="B4" s="388"/>
      <c r="C4" s="395" t="s">
        <v>209</v>
      </c>
      <c r="D4" s="275"/>
      <c r="E4" s="275"/>
      <c r="F4" s="276"/>
      <c r="G4" s="228"/>
      <c r="H4" s="215"/>
      <c r="I4" s="216"/>
      <c r="AA4">
        <v>15</v>
      </c>
      <c r="AB4" t="s">
        <v>286</v>
      </c>
      <c r="AC4" t="s">
        <v>209</v>
      </c>
      <c r="AD4">
        <v>45000</v>
      </c>
      <c r="AE4" s="201">
        <v>45366</v>
      </c>
      <c r="AF4" t="s">
        <v>268</v>
      </c>
      <c r="AG4" s="202" t="s">
        <v>275</v>
      </c>
      <c r="AH4" t="s">
        <v>282</v>
      </c>
      <c r="AI4" t="s">
        <v>283</v>
      </c>
      <c r="AJ4" t="s">
        <v>284</v>
      </c>
      <c r="AK4" t="s">
        <v>46</v>
      </c>
      <c r="AL4" t="s">
        <v>285</v>
      </c>
      <c r="AM4">
        <v>152805</v>
      </c>
      <c r="AN4" t="s">
        <v>220</v>
      </c>
      <c r="AO4">
        <v>0</v>
      </c>
      <c r="AP4">
        <v>45000</v>
      </c>
    </row>
    <row r="5" spans="2:43">
      <c r="B5" s="388"/>
      <c r="C5" s="395" t="s">
        <v>214</v>
      </c>
      <c r="D5" s="275"/>
      <c r="E5" s="275"/>
      <c r="F5" s="276"/>
      <c r="G5" s="296"/>
      <c r="H5" s="283"/>
      <c r="I5" s="394"/>
    </row>
    <row r="6" spans="2:43" ht="24.6">
      <c r="B6" s="388"/>
      <c r="C6" s="290">
        <v>3213652025</v>
      </c>
      <c r="D6" s="275"/>
      <c r="E6" s="275"/>
      <c r="F6" s="276"/>
      <c r="G6" s="176" t="s">
        <v>2</v>
      </c>
      <c r="H6" s="177">
        <v>15</v>
      </c>
      <c r="I6" s="178"/>
    </row>
    <row r="7" spans="2:43" ht="24.6">
      <c r="B7" s="389"/>
      <c r="C7" s="396" t="s">
        <v>212</v>
      </c>
      <c r="D7" s="275"/>
      <c r="E7" s="275"/>
      <c r="F7" s="276"/>
      <c r="G7" s="179"/>
      <c r="H7" s="179"/>
      <c r="I7" s="180"/>
    </row>
    <row r="8" spans="2:43">
      <c r="B8" s="181" t="s">
        <v>60</v>
      </c>
      <c r="C8" s="290" t="str">
        <f>VLOOKUP(H6,PAGO.,2)</f>
        <v>AREPAS LA EXQUISITA SAS</v>
      </c>
      <c r="D8" s="275"/>
      <c r="E8" s="275"/>
      <c r="F8" s="276"/>
      <c r="G8" s="86" t="s">
        <v>36</v>
      </c>
      <c r="H8" s="397">
        <f>VLOOKUP(H6,PAGO.,4)</f>
        <v>45000</v>
      </c>
      <c r="I8" s="398"/>
    </row>
    <row r="9" spans="2:43">
      <c r="B9" s="181" t="s">
        <v>61</v>
      </c>
      <c r="C9" s="290" t="str">
        <f>VLOOKUP(H6,PAGO.,3)</f>
        <v>1121846020-9</v>
      </c>
      <c r="D9" s="275"/>
      <c r="E9" s="275"/>
      <c r="F9" s="276"/>
      <c r="G9" s="86" t="s">
        <v>34</v>
      </c>
      <c r="H9" s="399">
        <f>VLOOKUP(H6,PAGO.,5)</f>
        <v>45366</v>
      </c>
      <c r="I9" s="398"/>
    </row>
    <row r="10" spans="2:43">
      <c r="B10" s="181" t="s">
        <v>11</v>
      </c>
      <c r="C10" s="290" t="str">
        <f>VLOOKUP(H6,PAGO.,6)</f>
        <v>BOGOTA D.C</v>
      </c>
      <c r="D10" s="275"/>
      <c r="E10" s="275"/>
      <c r="F10" s="276"/>
      <c r="G10" s="86" t="s">
        <v>62</v>
      </c>
      <c r="H10" s="400" t="str">
        <f>VLOOKUP(H6,PAGO.,7)</f>
        <v>SOPORTEAREPASLAEXQUISITA@GMAIL.COM</v>
      </c>
      <c r="I10" s="398"/>
    </row>
    <row r="11" spans="2:43">
      <c r="B11" s="181" t="s">
        <v>63</v>
      </c>
      <c r="C11" s="294" t="str">
        <f>VLOOKUP(H6,PAGO.,8)</f>
        <v>CALLE 38C 73A-78SUR</v>
      </c>
      <c r="D11" s="275"/>
      <c r="E11" s="275"/>
      <c r="F11" s="275"/>
      <c r="G11" s="275"/>
      <c r="H11" s="275"/>
      <c r="I11" s="398"/>
    </row>
    <row r="12" spans="2:43">
      <c r="B12" s="181" t="s">
        <v>38</v>
      </c>
      <c r="C12" s="294" t="str">
        <f>VLOOKUP(H6,PAGO.,9)</f>
        <v>CUARENTA Y CINCO MIL PESOS</v>
      </c>
      <c r="D12" s="275"/>
      <c r="E12" s="275"/>
      <c r="F12" s="275"/>
      <c r="G12" s="275"/>
      <c r="H12" s="275"/>
      <c r="I12" s="398"/>
    </row>
    <row r="13" spans="2:43">
      <c r="B13" s="181" t="s">
        <v>64</v>
      </c>
      <c r="C13" s="294" t="str">
        <f>VLOOKUP(H6,PAGO.,10)</f>
        <v>HONORARIOS</v>
      </c>
      <c r="D13" s="275"/>
      <c r="E13" s="275"/>
      <c r="F13" s="275"/>
      <c r="G13" s="275"/>
      <c r="H13" s="275"/>
      <c r="I13" s="398"/>
    </row>
    <row r="14" spans="2:43">
      <c r="B14" s="182" t="s">
        <v>121</v>
      </c>
      <c r="C14" s="406" t="str">
        <f>VLOOKUP(H6,PAGO.,11)</f>
        <v>EFECTIVO</v>
      </c>
      <c r="D14" s="275"/>
      <c r="E14" s="275"/>
      <c r="F14" s="275"/>
      <c r="G14" s="275"/>
      <c r="H14" s="275"/>
      <c r="I14" s="398"/>
    </row>
    <row r="15" spans="2:43">
      <c r="B15" s="182" t="s">
        <v>122</v>
      </c>
      <c r="C15" s="406" t="str">
        <f>VLOOKUP(H6,PAGO.,12)</f>
        <v>ARA S.A.S</v>
      </c>
      <c r="D15" s="275"/>
      <c r="E15" s="275"/>
      <c r="F15" s="275"/>
      <c r="G15" s="275"/>
      <c r="H15" s="275"/>
      <c r="I15" s="398"/>
    </row>
    <row r="16" spans="2:43">
      <c r="B16" s="183" t="s">
        <v>40</v>
      </c>
      <c r="C16" s="349" t="s">
        <v>69</v>
      </c>
      <c r="D16" s="276"/>
      <c r="E16" s="116" t="s">
        <v>70</v>
      </c>
      <c r="F16" s="116" t="s">
        <v>43</v>
      </c>
      <c r="G16" s="350" t="s">
        <v>81</v>
      </c>
      <c r="H16" s="226"/>
      <c r="I16" s="245"/>
    </row>
    <row r="17" spans="2:9">
      <c r="B17" s="184">
        <f>VLOOKUP(H6,PAGO.,13)</f>
        <v>152805</v>
      </c>
      <c r="C17" s="351" t="str">
        <f>VLOOKUP(H6,PAGO.,14)</f>
        <v>COMPRA INGREDIENTES</v>
      </c>
      <c r="D17" s="276"/>
      <c r="E17" s="118">
        <f>VLOOKUP(H6,PAGO.,15)</f>
        <v>0</v>
      </c>
      <c r="F17" s="118">
        <f>VLOOKUP(H6,PAGO.,16)</f>
        <v>45000</v>
      </c>
      <c r="G17" s="228"/>
      <c r="H17" s="215"/>
      <c r="I17" s="216"/>
    </row>
    <row r="18" spans="2:9">
      <c r="B18" s="185"/>
      <c r="C18" s="351"/>
      <c r="D18" s="276"/>
      <c r="E18" s="113"/>
      <c r="F18" s="113"/>
      <c r="G18" s="228"/>
      <c r="H18" s="215"/>
      <c r="I18" s="216"/>
    </row>
    <row r="19" spans="2:9">
      <c r="B19" s="185"/>
      <c r="C19" s="351"/>
      <c r="D19" s="276"/>
      <c r="E19" s="113"/>
      <c r="F19" s="113"/>
      <c r="G19" s="228"/>
      <c r="H19" s="215"/>
      <c r="I19" s="216"/>
    </row>
    <row r="20" spans="2:9">
      <c r="B20" s="401" t="s">
        <v>56</v>
      </c>
      <c r="C20" s="227"/>
      <c r="D20" s="345" t="s">
        <v>57</v>
      </c>
      <c r="E20" s="226"/>
      <c r="F20" s="227"/>
      <c r="G20" s="228"/>
      <c r="H20" s="215"/>
      <c r="I20" s="216"/>
    </row>
    <row r="21" spans="2:9">
      <c r="B21" s="219"/>
      <c r="C21" s="220"/>
      <c r="D21" s="228"/>
      <c r="E21" s="215"/>
      <c r="F21" s="220"/>
      <c r="G21" s="296"/>
      <c r="H21" s="283"/>
      <c r="I21" s="394"/>
    </row>
    <row r="22" spans="2:9" ht="15" thickBot="1">
      <c r="B22" s="402"/>
      <c r="C22" s="403"/>
      <c r="D22" s="404"/>
      <c r="E22" s="405"/>
      <c r="F22" s="403"/>
      <c r="G22" s="186" t="s">
        <v>83</v>
      </c>
      <c r="H22" s="186" t="s">
        <v>84</v>
      </c>
      <c r="I22" s="187" t="s">
        <v>85</v>
      </c>
    </row>
  </sheetData>
  <mergeCells count="25">
    <mergeCell ref="B20:C22"/>
    <mergeCell ref="D20:F22"/>
    <mergeCell ref="C11:I11"/>
    <mergeCell ref="C12:I12"/>
    <mergeCell ref="C13:I13"/>
    <mergeCell ref="C14:I14"/>
    <mergeCell ref="C15:I15"/>
    <mergeCell ref="C16:D16"/>
    <mergeCell ref="G16:I21"/>
    <mergeCell ref="C17:D17"/>
    <mergeCell ref="C18:D18"/>
    <mergeCell ref="C19:D19"/>
    <mergeCell ref="C8:F8"/>
    <mergeCell ref="H8:I8"/>
    <mergeCell ref="C9:F9"/>
    <mergeCell ref="H9:I9"/>
    <mergeCell ref="C10:F10"/>
    <mergeCell ref="H10:I10"/>
    <mergeCell ref="B3:B7"/>
    <mergeCell ref="C3:F3"/>
    <mergeCell ref="G3:I5"/>
    <mergeCell ref="C4:F4"/>
    <mergeCell ref="C5:F5"/>
    <mergeCell ref="C6:F6"/>
    <mergeCell ref="C7:F7"/>
  </mergeCells>
  <hyperlinks>
    <hyperlink ref="C7" r:id="rId1" xr:uid="{EC00AAA3-1AAD-419F-A700-50C2B0886FE1}"/>
    <hyperlink ref="AG3" r:id="rId2" xr:uid="{941320CD-9C63-46C4-B51A-7CCCF4915933}"/>
    <hyperlink ref="AG4" r:id="rId3" xr:uid="{426DDA94-2CEB-4915-B579-DEEA12F2E7CE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16</vt:i4>
      </vt:variant>
    </vt:vector>
  </HeadingPairs>
  <TitlesOfParts>
    <vt:vector size="26" baseType="lpstr">
      <vt:lpstr>FACTURA DE COMPRA</vt:lpstr>
      <vt:lpstr>FACTURA DE VENTA</vt:lpstr>
      <vt:lpstr>C. INGRESO</vt:lpstr>
      <vt:lpstr>C. EGRESO</vt:lpstr>
      <vt:lpstr>RECIBO CAJA</vt:lpstr>
      <vt:lpstr>REC CAJA MENOR</vt:lpstr>
      <vt:lpstr>CHEQUE</vt:lpstr>
      <vt:lpstr>LETRA</vt:lpstr>
      <vt:lpstr>RECIBO PAGO</vt:lpstr>
      <vt:lpstr>VOUCHER</vt:lpstr>
      <vt:lpstr>C.EGRESO</vt:lpstr>
      <vt:lpstr>C.INGRESO</vt:lpstr>
      <vt:lpstr>CAJA</vt:lpstr>
      <vt:lpstr>CHEQUE</vt:lpstr>
      <vt:lpstr>CHEQUE.</vt:lpstr>
      <vt:lpstr>COMPRA</vt:lpstr>
      <vt:lpstr>COMPRA.</vt:lpstr>
      <vt:lpstr>EGRESO</vt:lpstr>
      <vt:lpstr>FACTURA</vt:lpstr>
      <vt:lpstr>INGRESO</vt:lpstr>
      <vt:lpstr>LETRA</vt:lpstr>
      <vt:lpstr>LETRA.</vt:lpstr>
      <vt:lpstr>MENOR</vt:lpstr>
      <vt:lpstr>PAGO</vt:lpstr>
      <vt:lpstr>PAGO.</vt:lpstr>
      <vt:lpstr>VENTA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DMGC</dc:creator>
  <cp:lastModifiedBy>tatiana­­</cp:lastModifiedBy>
  <cp:lastPrinted>2024-03-26T02:01:03Z</cp:lastPrinted>
  <dcterms:created xsi:type="dcterms:W3CDTF">2024-03-13T01:27:44Z</dcterms:created>
  <dcterms:modified xsi:type="dcterms:W3CDTF">2024-03-26T02:01:45Z</dcterms:modified>
</cp:coreProperties>
</file>